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https://undp-my.sharepoint.com/personal/chaltu_yasin_seid_undp_org/Documents/Documents/Working/PSP 2023/01 PSP 2023 Plan/Project document/"/>
    </mc:Choice>
  </mc:AlternateContent>
  <xr:revisionPtr revIDLastSave="37" documentId="8_{B74A89FF-EF17-4858-8B8B-8F7F012658DE}" xr6:coauthVersionLast="47" xr6:coauthVersionMax="47" xr10:uidLastSave="{BDDBE003-EA60-4C57-8AEB-6091A07FD005}"/>
  <bookViews>
    <workbookView xWindow="-108" yWindow="-108" windowWidth="23256" windowHeight="12456" activeTab="1" xr2:uid="{84A48AC0-8E63-4439-B720-7165DF3AB01B}"/>
  </bookViews>
  <sheets>
    <sheet name="PS Budget 2023-2025 (2)" sheetId="10" r:id="rId1"/>
    <sheet name="PS Budget 2023-2025" sheetId="9" r:id="rId2"/>
  </sheets>
  <definedNames>
    <definedName name="_xlnm._FilterDatabase" localSheetId="1" hidden="1">'PS Budget 2023-2025'!$B$2:$O$170</definedName>
    <definedName name="_xlnm._FilterDatabase" localSheetId="0" hidden="1">'PS Budget 2023-2025 (2)'!$B$2:$O$170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66" i="9" l="1"/>
  <c r="O165" i="9"/>
  <c r="M164" i="10"/>
  <c r="M165" i="10" s="1"/>
  <c r="L164" i="10"/>
  <c r="K164" i="10"/>
  <c r="I164" i="10"/>
  <c r="H164" i="10"/>
  <c r="H165" i="10" s="1"/>
  <c r="G164" i="10"/>
  <c r="C164" i="10"/>
  <c r="C165" i="10" s="1"/>
  <c r="J163" i="10"/>
  <c r="F163" i="10"/>
  <c r="O163" i="10" s="1"/>
  <c r="N162" i="10"/>
  <c r="J162" i="10"/>
  <c r="E162" i="10"/>
  <c r="F162" i="10" s="1"/>
  <c r="O162" i="10" s="1"/>
  <c r="N161" i="10"/>
  <c r="J161" i="10"/>
  <c r="F161" i="10"/>
  <c r="O161" i="10" s="1"/>
  <c r="E161" i="10"/>
  <c r="N160" i="10"/>
  <c r="J160" i="10"/>
  <c r="F160" i="10"/>
  <c r="O160" i="10" s="1"/>
  <c r="E160" i="10"/>
  <c r="N159" i="10"/>
  <c r="J159" i="10"/>
  <c r="C159" i="10"/>
  <c r="F159" i="10" s="1"/>
  <c r="O159" i="10" s="1"/>
  <c r="N158" i="10"/>
  <c r="J158" i="10"/>
  <c r="C158" i="10"/>
  <c r="F158" i="10" s="1"/>
  <c r="O158" i="10" s="1"/>
  <c r="N157" i="10"/>
  <c r="J157" i="10"/>
  <c r="F157" i="10"/>
  <c r="O157" i="10" s="1"/>
  <c r="C157" i="10"/>
  <c r="N156" i="10"/>
  <c r="J156" i="10"/>
  <c r="D156" i="10"/>
  <c r="F156" i="10" s="1"/>
  <c r="O156" i="10" s="1"/>
  <c r="N155" i="10"/>
  <c r="J155" i="10"/>
  <c r="D155" i="10"/>
  <c r="F155" i="10" s="1"/>
  <c r="O155" i="10" s="1"/>
  <c r="N154" i="10"/>
  <c r="N164" i="10" s="1"/>
  <c r="J154" i="10"/>
  <c r="J164" i="10" s="1"/>
  <c r="D154" i="10"/>
  <c r="F154" i="10" s="1"/>
  <c r="M152" i="10"/>
  <c r="L152" i="10"/>
  <c r="K152" i="10"/>
  <c r="J152" i="10"/>
  <c r="I152" i="10"/>
  <c r="H152" i="10"/>
  <c r="G152" i="10"/>
  <c r="E152" i="10"/>
  <c r="D152" i="10"/>
  <c r="C152" i="10"/>
  <c r="O151" i="10"/>
  <c r="O150" i="10"/>
  <c r="F150" i="10"/>
  <c r="O149" i="10"/>
  <c r="F149" i="10"/>
  <c r="N148" i="10"/>
  <c r="O148" i="10" s="1"/>
  <c r="N147" i="10"/>
  <c r="O147" i="10" s="1"/>
  <c r="O146" i="10"/>
  <c r="O145" i="10"/>
  <c r="F144" i="10"/>
  <c r="O144" i="10" s="1"/>
  <c r="O143" i="10"/>
  <c r="F143" i="10"/>
  <c r="O142" i="10"/>
  <c r="F142" i="10"/>
  <c r="N141" i="10"/>
  <c r="O141" i="10" s="1"/>
  <c r="F140" i="10"/>
  <c r="O140" i="10" s="1"/>
  <c r="N139" i="10"/>
  <c r="O139" i="10" s="1"/>
  <c r="N138" i="10"/>
  <c r="F138" i="10"/>
  <c r="O138" i="10" s="1"/>
  <c r="N137" i="10"/>
  <c r="N152" i="10" s="1"/>
  <c r="F137" i="10"/>
  <c r="N135" i="10"/>
  <c r="M135" i="10"/>
  <c r="L135" i="10"/>
  <c r="K135" i="10"/>
  <c r="J135" i="10"/>
  <c r="H135" i="10"/>
  <c r="E135" i="10"/>
  <c r="D135" i="10"/>
  <c r="C135" i="10"/>
  <c r="O134" i="10"/>
  <c r="K134" i="10"/>
  <c r="I134" i="10"/>
  <c r="I135" i="10" s="1"/>
  <c r="G134" i="10"/>
  <c r="G135" i="10" s="1"/>
  <c r="O133" i="10"/>
  <c r="F133" i="10"/>
  <c r="F132" i="10"/>
  <c r="O132" i="10" s="1"/>
  <c r="O135" i="10" s="1"/>
  <c r="C132" i="10"/>
  <c r="O131" i="10"/>
  <c r="F131" i="10"/>
  <c r="F135" i="10" s="1"/>
  <c r="G128" i="10"/>
  <c r="M127" i="10"/>
  <c r="M128" i="10" s="1"/>
  <c r="L127" i="10"/>
  <c r="L128" i="10" s="1"/>
  <c r="K127" i="10"/>
  <c r="K128" i="10" s="1"/>
  <c r="I127" i="10"/>
  <c r="I128" i="10" s="1"/>
  <c r="H127" i="10"/>
  <c r="H128" i="10" s="1"/>
  <c r="G127" i="10"/>
  <c r="D127" i="10"/>
  <c r="D128" i="10" s="1"/>
  <c r="C127" i="10"/>
  <c r="C128" i="10" s="1"/>
  <c r="N126" i="10"/>
  <c r="J126" i="10"/>
  <c r="F126" i="10"/>
  <c r="O126" i="10" s="1"/>
  <c r="N125" i="10"/>
  <c r="J125" i="10"/>
  <c r="E125" i="10"/>
  <c r="E127" i="10" s="1"/>
  <c r="E128" i="10" s="1"/>
  <c r="D125" i="10"/>
  <c r="C125" i="10"/>
  <c r="F125" i="10" s="1"/>
  <c r="O125" i="10" s="1"/>
  <c r="N124" i="10"/>
  <c r="J124" i="10"/>
  <c r="F124" i="10"/>
  <c r="O124" i="10" s="1"/>
  <c r="O123" i="10"/>
  <c r="N123" i="10"/>
  <c r="N127" i="10" s="1"/>
  <c r="N128" i="10" s="1"/>
  <c r="J123" i="10"/>
  <c r="J127" i="10" s="1"/>
  <c r="J128" i="10" s="1"/>
  <c r="F123" i="10"/>
  <c r="K121" i="10"/>
  <c r="G121" i="10"/>
  <c r="M120" i="10"/>
  <c r="M121" i="10" s="1"/>
  <c r="L120" i="10"/>
  <c r="L121" i="10" s="1"/>
  <c r="K120" i="10"/>
  <c r="I120" i="10"/>
  <c r="I121" i="10" s="1"/>
  <c r="H120" i="10"/>
  <c r="H121" i="10" s="1"/>
  <c r="G120" i="10"/>
  <c r="E120" i="10"/>
  <c r="E121" i="10" s="1"/>
  <c r="D120" i="10"/>
  <c r="C120" i="10"/>
  <c r="C121" i="10" s="1"/>
  <c r="N119" i="10"/>
  <c r="J119" i="10"/>
  <c r="F119" i="10"/>
  <c r="O119" i="10" s="1"/>
  <c r="N118" i="10"/>
  <c r="J118" i="10"/>
  <c r="O118" i="10" s="1"/>
  <c r="F118" i="10"/>
  <c r="N117" i="10"/>
  <c r="J117" i="10"/>
  <c r="F117" i="10"/>
  <c r="O117" i="10" s="1"/>
  <c r="N115" i="10"/>
  <c r="N120" i="10" s="1"/>
  <c r="J115" i="10"/>
  <c r="F115" i="10"/>
  <c r="O115" i="10" s="1"/>
  <c r="M112" i="10"/>
  <c r="L112" i="10"/>
  <c r="K112" i="10"/>
  <c r="I112" i="10"/>
  <c r="H112" i="10"/>
  <c r="G112" i="10"/>
  <c r="E112" i="10"/>
  <c r="C112" i="10"/>
  <c r="N111" i="10"/>
  <c r="N112" i="10" s="1"/>
  <c r="J111" i="10"/>
  <c r="C111" i="10"/>
  <c r="F111" i="10" s="1"/>
  <c r="O111" i="10" s="1"/>
  <c r="N110" i="10"/>
  <c r="J110" i="10"/>
  <c r="F110" i="10"/>
  <c r="O110" i="10" s="1"/>
  <c r="N108" i="10"/>
  <c r="J108" i="10"/>
  <c r="J112" i="10" s="1"/>
  <c r="D108" i="10"/>
  <c r="D112" i="10" s="1"/>
  <c r="D121" i="10" s="1"/>
  <c r="M105" i="10"/>
  <c r="L105" i="10"/>
  <c r="K105" i="10"/>
  <c r="I105" i="10"/>
  <c r="H105" i="10"/>
  <c r="G105" i="10"/>
  <c r="E105" i="10"/>
  <c r="D105" i="10"/>
  <c r="F104" i="10"/>
  <c r="O104" i="10" s="1"/>
  <c r="N103" i="10"/>
  <c r="J103" i="10"/>
  <c r="E103" i="10"/>
  <c r="F103" i="10" s="1"/>
  <c r="O103" i="10" s="1"/>
  <c r="D103" i="10"/>
  <c r="N102" i="10"/>
  <c r="J102" i="10"/>
  <c r="E102" i="10"/>
  <c r="D102" i="10"/>
  <c r="C102" i="10"/>
  <c r="C105" i="10" s="1"/>
  <c r="N101" i="10"/>
  <c r="J101" i="10"/>
  <c r="F101" i="10"/>
  <c r="O101" i="10" s="1"/>
  <c r="N99" i="10"/>
  <c r="J99" i="10"/>
  <c r="F99" i="10"/>
  <c r="O99" i="10" s="1"/>
  <c r="D99" i="10"/>
  <c r="N98" i="10"/>
  <c r="J98" i="10"/>
  <c r="F98" i="10"/>
  <c r="O98" i="10" s="1"/>
  <c r="N97" i="10"/>
  <c r="N105" i="10" s="1"/>
  <c r="J97" i="10"/>
  <c r="J105" i="10" s="1"/>
  <c r="F97" i="10"/>
  <c r="O97" i="10" s="1"/>
  <c r="M93" i="10"/>
  <c r="E93" i="10"/>
  <c r="N92" i="10"/>
  <c r="M92" i="10"/>
  <c r="L92" i="10"/>
  <c r="L93" i="10" s="1"/>
  <c r="K92" i="10"/>
  <c r="K93" i="10" s="1"/>
  <c r="I92" i="10"/>
  <c r="I93" i="10" s="1"/>
  <c r="H92" i="10"/>
  <c r="G92" i="10"/>
  <c r="G93" i="10" s="1"/>
  <c r="F92" i="10"/>
  <c r="E92" i="10"/>
  <c r="D92" i="10"/>
  <c r="D93" i="10" s="1"/>
  <c r="C92" i="10"/>
  <c r="C93" i="10" s="1"/>
  <c r="O91" i="10"/>
  <c r="N91" i="10"/>
  <c r="J91" i="10"/>
  <c r="F91" i="10"/>
  <c r="N90" i="10"/>
  <c r="J90" i="10"/>
  <c r="J92" i="10" s="1"/>
  <c r="J93" i="10" s="1"/>
  <c r="F90" i="10"/>
  <c r="O90" i="10" s="1"/>
  <c r="O92" i="10" s="1"/>
  <c r="M87" i="10"/>
  <c r="L87" i="10"/>
  <c r="K87" i="10"/>
  <c r="I87" i="10"/>
  <c r="H87" i="10"/>
  <c r="H93" i="10" s="1"/>
  <c r="G87" i="10"/>
  <c r="E87" i="10"/>
  <c r="D87" i="10"/>
  <c r="C87" i="10"/>
  <c r="N86" i="10"/>
  <c r="J86" i="10"/>
  <c r="F86" i="10"/>
  <c r="O86" i="10" s="1"/>
  <c r="N85" i="10"/>
  <c r="J85" i="10"/>
  <c r="F85" i="10"/>
  <c r="O85" i="10" s="1"/>
  <c r="N84" i="10"/>
  <c r="J84" i="10"/>
  <c r="F84" i="10"/>
  <c r="O84" i="10" s="1"/>
  <c r="N83" i="10"/>
  <c r="J83" i="10"/>
  <c r="F83" i="10"/>
  <c r="O83" i="10" s="1"/>
  <c r="N82" i="10"/>
  <c r="J82" i="10"/>
  <c r="D82" i="10"/>
  <c r="F82" i="10" s="1"/>
  <c r="O82" i="10" s="1"/>
  <c r="N81" i="10"/>
  <c r="J81" i="10"/>
  <c r="F81" i="10"/>
  <c r="O81" i="10" s="1"/>
  <c r="N80" i="10"/>
  <c r="J80" i="10"/>
  <c r="O80" i="10" s="1"/>
  <c r="F80" i="10"/>
  <c r="N78" i="10"/>
  <c r="J78" i="10"/>
  <c r="F78" i="10"/>
  <c r="O78" i="10" s="1"/>
  <c r="N77" i="10"/>
  <c r="J77" i="10"/>
  <c r="F77" i="10"/>
  <c r="O77" i="10" s="1"/>
  <c r="N76" i="10"/>
  <c r="J76" i="10"/>
  <c r="O76" i="10" s="1"/>
  <c r="F76" i="10"/>
  <c r="N75" i="10"/>
  <c r="J75" i="10"/>
  <c r="F75" i="10"/>
  <c r="O75" i="10" s="1"/>
  <c r="N74" i="10"/>
  <c r="J74" i="10"/>
  <c r="F74" i="10"/>
  <c r="O74" i="10" s="1"/>
  <c r="N73" i="10"/>
  <c r="J73" i="10"/>
  <c r="O73" i="10" s="1"/>
  <c r="F73" i="10"/>
  <c r="N72" i="10"/>
  <c r="N87" i="10" s="1"/>
  <c r="J72" i="10"/>
  <c r="J87" i="10" s="1"/>
  <c r="F72" i="10"/>
  <c r="O72" i="10" s="1"/>
  <c r="M69" i="10"/>
  <c r="L69" i="10"/>
  <c r="K69" i="10"/>
  <c r="J69" i="10"/>
  <c r="I69" i="10"/>
  <c r="H69" i="10"/>
  <c r="G69" i="10"/>
  <c r="E69" i="10"/>
  <c r="D69" i="10"/>
  <c r="C69" i="10"/>
  <c r="N68" i="10"/>
  <c r="J68" i="10"/>
  <c r="F68" i="10"/>
  <c r="O68" i="10" s="1"/>
  <c r="N67" i="10"/>
  <c r="O67" i="10" s="1"/>
  <c r="J67" i="10"/>
  <c r="F67" i="10"/>
  <c r="N66" i="10"/>
  <c r="J66" i="10"/>
  <c r="O66" i="10" s="1"/>
  <c r="F66" i="10"/>
  <c r="N64" i="10"/>
  <c r="N69" i="10" s="1"/>
  <c r="J64" i="10"/>
  <c r="F64" i="10"/>
  <c r="F69" i="10" s="1"/>
  <c r="N61" i="10"/>
  <c r="M61" i="10"/>
  <c r="L61" i="10"/>
  <c r="K61" i="10"/>
  <c r="I61" i="10"/>
  <c r="H61" i="10"/>
  <c r="G61" i="10"/>
  <c r="E61" i="10"/>
  <c r="C61" i="10"/>
  <c r="O60" i="10"/>
  <c r="N60" i="10"/>
  <c r="J60" i="10"/>
  <c r="F60" i="10"/>
  <c r="N59" i="10"/>
  <c r="J59" i="10"/>
  <c r="F59" i="10"/>
  <c r="O59" i="10" s="1"/>
  <c r="N58" i="10"/>
  <c r="J58" i="10"/>
  <c r="F58" i="10"/>
  <c r="O58" i="10" s="1"/>
  <c r="O57" i="10"/>
  <c r="N57" i="10"/>
  <c r="J57" i="10"/>
  <c r="F57" i="10"/>
  <c r="N56" i="10"/>
  <c r="J56" i="10"/>
  <c r="F56" i="10"/>
  <c r="O56" i="10" s="1"/>
  <c r="N55" i="10"/>
  <c r="J55" i="10"/>
  <c r="F55" i="10"/>
  <c r="O55" i="10" s="1"/>
  <c r="O54" i="10"/>
  <c r="N54" i="10"/>
  <c r="J54" i="10"/>
  <c r="F54" i="10"/>
  <c r="N53" i="10"/>
  <c r="J53" i="10"/>
  <c r="F53" i="10"/>
  <c r="O53" i="10" s="1"/>
  <c r="N52" i="10"/>
  <c r="J52" i="10"/>
  <c r="F52" i="10"/>
  <c r="O52" i="10" s="1"/>
  <c r="O51" i="10"/>
  <c r="N51" i="10"/>
  <c r="J51" i="10"/>
  <c r="F51" i="10"/>
  <c r="N50" i="10"/>
  <c r="J50" i="10"/>
  <c r="F50" i="10"/>
  <c r="O50" i="10" s="1"/>
  <c r="N49" i="10"/>
  <c r="J49" i="10"/>
  <c r="D49" i="10"/>
  <c r="D61" i="10" s="1"/>
  <c r="N47" i="10"/>
  <c r="J47" i="10"/>
  <c r="F47" i="10"/>
  <c r="O47" i="10" s="1"/>
  <c r="N46" i="10"/>
  <c r="J46" i="10"/>
  <c r="F46" i="10"/>
  <c r="O46" i="10" s="1"/>
  <c r="N45" i="10"/>
  <c r="J45" i="10"/>
  <c r="F45" i="10"/>
  <c r="O45" i="10" s="1"/>
  <c r="N44" i="10"/>
  <c r="J44" i="10"/>
  <c r="F44" i="10"/>
  <c r="O44" i="10" s="1"/>
  <c r="N43" i="10"/>
  <c r="J43" i="10"/>
  <c r="F43" i="10"/>
  <c r="O43" i="10" s="1"/>
  <c r="N42" i="10"/>
  <c r="J42" i="10"/>
  <c r="F42" i="10"/>
  <c r="O42" i="10" s="1"/>
  <c r="N41" i="10"/>
  <c r="J41" i="10"/>
  <c r="F41" i="10"/>
  <c r="O41" i="10" s="1"/>
  <c r="N40" i="10"/>
  <c r="J40" i="10"/>
  <c r="F40" i="10"/>
  <c r="O40" i="10" s="1"/>
  <c r="N39" i="10"/>
  <c r="J39" i="10"/>
  <c r="J61" i="10" s="1"/>
  <c r="F39" i="10"/>
  <c r="C39" i="10"/>
  <c r="M34" i="10"/>
  <c r="L34" i="10"/>
  <c r="K34" i="10"/>
  <c r="I34" i="10"/>
  <c r="H34" i="10"/>
  <c r="G34" i="10"/>
  <c r="F34" i="10"/>
  <c r="E34" i="10"/>
  <c r="D34" i="10"/>
  <c r="C34" i="10"/>
  <c r="N33" i="10"/>
  <c r="J33" i="10"/>
  <c r="F33" i="10"/>
  <c r="O33" i="10" s="1"/>
  <c r="N32" i="10"/>
  <c r="J32" i="10"/>
  <c r="F32" i="10"/>
  <c r="O32" i="10" s="1"/>
  <c r="O31" i="10"/>
  <c r="N31" i="10"/>
  <c r="J31" i="10"/>
  <c r="F31" i="10"/>
  <c r="N30" i="10"/>
  <c r="J30" i="10"/>
  <c r="F30" i="10"/>
  <c r="O30" i="10" s="1"/>
  <c r="N29" i="10"/>
  <c r="J29" i="10"/>
  <c r="J34" i="10" s="1"/>
  <c r="F29" i="10"/>
  <c r="O29" i="10" s="1"/>
  <c r="O28" i="10"/>
  <c r="N28" i="10"/>
  <c r="N34" i="10" s="1"/>
  <c r="J28" i="10"/>
  <c r="F28" i="10"/>
  <c r="M25" i="10"/>
  <c r="L25" i="10"/>
  <c r="K25" i="10"/>
  <c r="I25" i="10"/>
  <c r="H25" i="10"/>
  <c r="G25" i="10"/>
  <c r="E25" i="10"/>
  <c r="N24" i="10"/>
  <c r="J24" i="10"/>
  <c r="D24" i="10"/>
  <c r="D25" i="10" s="1"/>
  <c r="C24" i="10"/>
  <c r="F24" i="10" s="1"/>
  <c r="O24" i="10" s="1"/>
  <c r="N23" i="10"/>
  <c r="O23" i="10" s="1"/>
  <c r="J23" i="10"/>
  <c r="F23" i="10"/>
  <c r="O22" i="10"/>
  <c r="N22" i="10"/>
  <c r="J22" i="10"/>
  <c r="F22" i="10"/>
  <c r="N21" i="10"/>
  <c r="J21" i="10"/>
  <c r="F21" i="10"/>
  <c r="O21" i="10" s="1"/>
  <c r="N20" i="10"/>
  <c r="N25" i="10" s="1"/>
  <c r="J20" i="10"/>
  <c r="J25" i="10" s="1"/>
  <c r="F20" i="10"/>
  <c r="F25" i="10" s="1"/>
  <c r="O18" i="10"/>
  <c r="N18" i="10"/>
  <c r="F18" i="10"/>
  <c r="N14" i="10"/>
  <c r="J14" i="10"/>
  <c r="E14" i="10"/>
  <c r="D14" i="10"/>
  <c r="F14" i="10" s="1"/>
  <c r="O14" i="10" s="1"/>
  <c r="C14" i="10"/>
  <c r="N12" i="10"/>
  <c r="J12" i="10"/>
  <c r="F12" i="10"/>
  <c r="O12" i="10" s="1"/>
  <c r="M11" i="10"/>
  <c r="M15" i="10" s="1"/>
  <c r="M35" i="10" s="1"/>
  <c r="L11" i="10"/>
  <c r="L15" i="10" s="1"/>
  <c r="L35" i="10" s="1"/>
  <c r="K11" i="10"/>
  <c r="N11" i="10" s="1"/>
  <c r="I11" i="10"/>
  <c r="J11" i="10" s="1"/>
  <c r="H11" i="10"/>
  <c r="H15" i="10" s="1"/>
  <c r="H35" i="10" s="1"/>
  <c r="G11" i="10"/>
  <c r="G15" i="10" s="1"/>
  <c r="G35" i="10" s="1"/>
  <c r="N10" i="10"/>
  <c r="J10" i="10"/>
  <c r="D10" i="10"/>
  <c r="F10" i="10" s="1"/>
  <c r="O10" i="10" s="1"/>
  <c r="N9" i="10"/>
  <c r="J9" i="10"/>
  <c r="E9" i="10"/>
  <c r="F9" i="10" s="1"/>
  <c r="O9" i="10" s="1"/>
  <c r="D9" i="10"/>
  <c r="D15" i="10" s="1"/>
  <c r="C9" i="10"/>
  <c r="C15" i="10" s="1"/>
  <c r="O8" i="10"/>
  <c r="N8" i="10"/>
  <c r="J8" i="10"/>
  <c r="F8" i="10"/>
  <c r="N6" i="10"/>
  <c r="N15" i="10" s="1"/>
  <c r="J6" i="10"/>
  <c r="F6" i="10"/>
  <c r="C166" i="9"/>
  <c r="C165" i="9"/>
  <c r="O151" i="9"/>
  <c r="N155" i="9"/>
  <c r="N156" i="9"/>
  <c r="N157" i="9"/>
  <c r="N158" i="9"/>
  <c r="N159" i="9"/>
  <c r="N160" i="9"/>
  <c r="N161" i="9"/>
  <c r="N162" i="9"/>
  <c r="N154" i="9"/>
  <c r="J163" i="9"/>
  <c r="N135" i="9"/>
  <c r="O134" i="9"/>
  <c r="H135" i="9"/>
  <c r="J135" i="9"/>
  <c r="L135" i="9"/>
  <c r="M135" i="9"/>
  <c r="D135" i="9"/>
  <c r="E135" i="9"/>
  <c r="K164" i="9"/>
  <c r="L164" i="9"/>
  <c r="M164" i="9"/>
  <c r="I164" i="9"/>
  <c r="H164" i="9"/>
  <c r="G164" i="9"/>
  <c r="M152" i="9"/>
  <c r="L152" i="9"/>
  <c r="K152" i="9"/>
  <c r="G152" i="9"/>
  <c r="H152" i="9"/>
  <c r="I152" i="9"/>
  <c r="J152" i="9"/>
  <c r="D152" i="9"/>
  <c r="E152" i="9"/>
  <c r="C152" i="9"/>
  <c r="D35" i="10" l="1"/>
  <c r="N93" i="10"/>
  <c r="O120" i="10"/>
  <c r="O34" i="10"/>
  <c r="G166" i="10"/>
  <c r="F15" i="10"/>
  <c r="F35" i="10" s="1"/>
  <c r="M166" i="10"/>
  <c r="F127" i="10"/>
  <c r="F128" i="10" s="1"/>
  <c r="N35" i="10"/>
  <c r="I166" i="10"/>
  <c r="O11" i="10"/>
  <c r="J15" i="10"/>
  <c r="J35" i="10" s="1"/>
  <c r="O87" i="10"/>
  <c r="O154" i="10"/>
  <c r="O164" i="10" s="1"/>
  <c r="F164" i="10"/>
  <c r="N121" i="10"/>
  <c r="O127" i="10"/>
  <c r="O128" i="10" s="1"/>
  <c r="J165" i="10"/>
  <c r="L166" i="10"/>
  <c r="N165" i="10"/>
  <c r="N166" i="10"/>
  <c r="O20" i="10"/>
  <c r="O25" i="10" s="1"/>
  <c r="F49" i="10"/>
  <c r="O49" i="10" s="1"/>
  <c r="F108" i="10"/>
  <c r="K15" i="10"/>
  <c r="K35" i="10" s="1"/>
  <c r="O6" i="10"/>
  <c r="O15" i="10" s="1"/>
  <c r="O35" i="10" s="1"/>
  <c r="F87" i="10"/>
  <c r="I165" i="10"/>
  <c r="H166" i="10"/>
  <c r="D164" i="10"/>
  <c r="O64" i="10"/>
  <c r="O69" i="10" s="1"/>
  <c r="E15" i="10"/>
  <c r="E35" i="10" s="1"/>
  <c r="C25" i="10"/>
  <c r="C35" i="10" s="1"/>
  <c r="O137" i="10"/>
  <c r="O152" i="10" s="1"/>
  <c r="K165" i="10"/>
  <c r="G165" i="10"/>
  <c r="F120" i="10"/>
  <c r="L165" i="10"/>
  <c r="F102" i="10"/>
  <c r="O102" i="10" s="1"/>
  <c r="O105" i="10" s="1"/>
  <c r="J120" i="10"/>
  <c r="J121" i="10" s="1"/>
  <c r="F152" i="10"/>
  <c r="E164" i="10"/>
  <c r="O39" i="10"/>
  <c r="I15" i="10"/>
  <c r="I35" i="10" s="1"/>
  <c r="H165" i="9"/>
  <c r="L165" i="9"/>
  <c r="N164" i="9"/>
  <c r="G127" i="9"/>
  <c r="H127" i="9"/>
  <c r="H128" i="9" s="1"/>
  <c r="I127" i="9"/>
  <c r="I128" i="9" s="1"/>
  <c r="K127" i="9"/>
  <c r="K128" i="9" s="1"/>
  <c r="L127" i="9"/>
  <c r="L128" i="9" s="1"/>
  <c r="M127" i="9"/>
  <c r="K120" i="9"/>
  <c r="L120" i="9"/>
  <c r="M120" i="9"/>
  <c r="E112" i="9"/>
  <c r="G112" i="9"/>
  <c r="H112" i="9"/>
  <c r="I112" i="9"/>
  <c r="K112" i="9"/>
  <c r="L112" i="9"/>
  <c r="M112" i="9"/>
  <c r="G105" i="9"/>
  <c r="H105" i="9"/>
  <c r="I105" i="9"/>
  <c r="K105" i="9"/>
  <c r="L105" i="9"/>
  <c r="M105" i="9"/>
  <c r="D92" i="9"/>
  <c r="E92" i="9"/>
  <c r="G92" i="9"/>
  <c r="H92" i="9"/>
  <c r="I92" i="9"/>
  <c r="K92" i="9"/>
  <c r="L92" i="9"/>
  <c r="M92" i="9"/>
  <c r="C92" i="9"/>
  <c r="L34" i="9"/>
  <c r="H34" i="9"/>
  <c r="N138" i="9"/>
  <c r="F138" i="9"/>
  <c r="N137" i="9"/>
  <c r="F137" i="9"/>
  <c r="N148" i="9"/>
  <c r="O148" i="9" s="1"/>
  <c r="N147" i="9"/>
  <c r="O147" i="9" s="1"/>
  <c r="N141" i="9"/>
  <c r="O141" i="9" s="1"/>
  <c r="N139" i="9"/>
  <c r="O139" i="9" s="1"/>
  <c r="F144" i="9"/>
  <c r="O144" i="9" s="1"/>
  <c r="O146" i="9"/>
  <c r="O145" i="9"/>
  <c r="F163" i="9"/>
  <c r="O163" i="9" s="1"/>
  <c r="M11" i="9"/>
  <c r="M15" i="9" s="1"/>
  <c r="L11" i="9"/>
  <c r="L15" i="9" s="1"/>
  <c r="K11" i="9"/>
  <c r="K15" i="9" s="1"/>
  <c r="G11" i="9"/>
  <c r="G15" i="9" s="1"/>
  <c r="I11" i="9"/>
  <c r="I15" i="9" s="1"/>
  <c r="H11" i="9"/>
  <c r="H15" i="9" s="1"/>
  <c r="J162" i="9"/>
  <c r="E162" i="9"/>
  <c r="F162" i="9" s="1"/>
  <c r="J161" i="9"/>
  <c r="E161" i="9"/>
  <c r="F161" i="9" s="1"/>
  <c r="J160" i="9"/>
  <c r="E160" i="9"/>
  <c r="J159" i="9"/>
  <c r="C159" i="9"/>
  <c r="F159" i="9" s="1"/>
  <c r="J158" i="9"/>
  <c r="C158" i="9"/>
  <c r="F158" i="9" s="1"/>
  <c r="J157" i="9"/>
  <c r="C157" i="9"/>
  <c r="J156" i="9"/>
  <c r="D156" i="9"/>
  <c r="F156" i="9" s="1"/>
  <c r="J155" i="9"/>
  <c r="D155" i="9"/>
  <c r="F155" i="9" s="1"/>
  <c r="J154" i="9"/>
  <c r="D154" i="9"/>
  <c r="F140" i="9"/>
  <c r="O140" i="9" s="1"/>
  <c r="F150" i="9"/>
  <c r="O150" i="9" s="1"/>
  <c r="F142" i="9"/>
  <c r="O142" i="9" s="1"/>
  <c r="F149" i="9"/>
  <c r="F143" i="9"/>
  <c r="K134" i="9"/>
  <c r="K135" i="9" s="1"/>
  <c r="I134" i="9"/>
  <c r="I135" i="9" s="1"/>
  <c r="G134" i="9"/>
  <c r="G135" i="9" s="1"/>
  <c r="F133" i="9"/>
  <c r="O133" i="9" s="1"/>
  <c r="C132" i="9"/>
  <c r="C135" i="9" s="1"/>
  <c r="F131" i="9"/>
  <c r="N126" i="9"/>
  <c r="J126" i="9"/>
  <c r="F126" i="9"/>
  <c r="N125" i="9"/>
  <c r="J125" i="9"/>
  <c r="E125" i="9"/>
  <c r="E127" i="9" s="1"/>
  <c r="D125" i="9"/>
  <c r="D127" i="9" s="1"/>
  <c r="C125" i="9"/>
  <c r="C127" i="9" s="1"/>
  <c r="C128" i="9" s="1"/>
  <c r="N124" i="9"/>
  <c r="J124" i="9"/>
  <c r="F124" i="9"/>
  <c r="N123" i="9"/>
  <c r="J123" i="9"/>
  <c r="F123" i="9"/>
  <c r="I120" i="9"/>
  <c r="H120" i="9"/>
  <c r="G120" i="9"/>
  <c r="E120" i="9"/>
  <c r="D120" i="9"/>
  <c r="C120" i="9"/>
  <c r="N119" i="9"/>
  <c r="J119" i="9"/>
  <c r="F119" i="9"/>
  <c r="N118" i="9"/>
  <c r="J118" i="9"/>
  <c r="F118" i="9"/>
  <c r="N117" i="9"/>
  <c r="J117" i="9"/>
  <c r="F117" i="9"/>
  <c r="N115" i="9"/>
  <c r="J115" i="9"/>
  <c r="F115" i="9"/>
  <c r="N111" i="9"/>
  <c r="J111" i="9"/>
  <c r="C111" i="9"/>
  <c r="N110" i="9"/>
  <c r="J110" i="9"/>
  <c r="F110" i="9"/>
  <c r="N108" i="9"/>
  <c r="J108" i="9"/>
  <c r="D108" i="9"/>
  <c r="F108" i="9" s="1"/>
  <c r="F104" i="9"/>
  <c r="O104" i="9" s="1"/>
  <c r="N103" i="9"/>
  <c r="J103" i="9"/>
  <c r="E103" i="9"/>
  <c r="D103" i="9"/>
  <c r="N102" i="9"/>
  <c r="J102" i="9"/>
  <c r="E102" i="9"/>
  <c r="D102" i="9"/>
  <c r="C102" i="9"/>
  <c r="C105" i="9" s="1"/>
  <c r="N101" i="9"/>
  <c r="J101" i="9"/>
  <c r="F101" i="9"/>
  <c r="N99" i="9"/>
  <c r="J99" i="9"/>
  <c r="D99" i="9"/>
  <c r="N98" i="9"/>
  <c r="J98" i="9"/>
  <c r="F98" i="9"/>
  <c r="N97" i="9"/>
  <c r="J97" i="9"/>
  <c r="F97" i="9"/>
  <c r="N91" i="9"/>
  <c r="J91" i="9"/>
  <c r="F91" i="9"/>
  <c r="N90" i="9"/>
  <c r="J90" i="9"/>
  <c r="F90" i="9"/>
  <c r="M87" i="9"/>
  <c r="L87" i="9"/>
  <c r="K87" i="9"/>
  <c r="I87" i="9"/>
  <c r="H87" i="9"/>
  <c r="G87" i="9"/>
  <c r="E87" i="9"/>
  <c r="C87" i="9"/>
  <c r="N86" i="9"/>
  <c r="J86" i="9"/>
  <c r="F86" i="9"/>
  <c r="N85" i="9"/>
  <c r="J85" i="9"/>
  <c r="F85" i="9"/>
  <c r="N84" i="9"/>
  <c r="J84" i="9"/>
  <c r="F84" i="9"/>
  <c r="N83" i="9"/>
  <c r="J83" i="9"/>
  <c r="F83" i="9"/>
  <c r="N82" i="9"/>
  <c r="J82" i="9"/>
  <c r="D82" i="9"/>
  <c r="D87" i="9" s="1"/>
  <c r="N81" i="9"/>
  <c r="J81" i="9"/>
  <c r="F81" i="9"/>
  <c r="N80" i="9"/>
  <c r="J80" i="9"/>
  <c r="F80" i="9"/>
  <c r="N78" i="9"/>
  <c r="J78" i="9"/>
  <c r="F78" i="9"/>
  <c r="N77" i="9"/>
  <c r="J77" i="9"/>
  <c r="F77" i="9"/>
  <c r="N76" i="9"/>
  <c r="J76" i="9"/>
  <c r="F76" i="9"/>
  <c r="N75" i="9"/>
  <c r="J75" i="9"/>
  <c r="F75" i="9"/>
  <c r="N74" i="9"/>
  <c r="J74" i="9"/>
  <c r="F74" i="9"/>
  <c r="N73" i="9"/>
  <c r="J73" i="9"/>
  <c r="F73" i="9"/>
  <c r="N72" i="9"/>
  <c r="J72" i="9"/>
  <c r="F72" i="9"/>
  <c r="M69" i="9"/>
  <c r="L69" i="9"/>
  <c r="K69" i="9"/>
  <c r="I69" i="9"/>
  <c r="H69" i="9"/>
  <c r="G69" i="9"/>
  <c r="E69" i="9"/>
  <c r="D69" i="9"/>
  <c r="C69" i="9"/>
  <c r="N68" i="9"/>
  <c r="J68" i="9"/>
  <c r="F68" i="9"/>
  <c r="N67" i="9"/>
  <c r="J67" i="9"/>
  <c r="F67" i="9"/>
  <c r="N66" i="9"/>
  <c r="J66" i="9"/>
  <c r="F66" i="9"/>
  <c r="N64" i="9"/>
  <c r="J64" i="9"/>
  <c r="F64" i="9"/>
  <c r="M61" i="9"/>
  <c r="L61" i="9"/>
  <c r="K61" i="9"/>
  <c r="I61" i="9"/>
  <c r="H61" i="9"/>
  <c r="G61" i="9"/>
  <c r="E61" i="9"/>
  <c r="N60" i="9"/>
  <c r="J60" i="9"/>
  <c r="F60" i="9"/>
  <c r="N59" i="9"/>
  <c r="J59" i="9"/>
  <c r="F59" i="9"/>
  <c r="N58" i="9"/>
  <c r="J58" i="9"/>
  <c r="F58" i="9"/>
  <c r="N57" i="9"/>
  <c r="J57" i="9"/>
  <c r="F57" i="9"/>
  <c r="N56" i="9"/>
  <c r="J56" i="9"/>
  <c r="F56" i="9"/>
  <c r="N55" i="9"/>
  <c r="J55" i="9"/>
  <c r="F55" i="9"/>
  <c r="N54" i="9"/>
  <c r="J54" i="9"/>
  <c r="F54" i="9"/>
  <c r="N53" i="9"/>
  <c r="J53" i="9"/>
  <c r="F53" i="9"/>
  <c r="N52" i="9"/>
  <c r="J52" i="9"/>
  <c r="F52" i="9"/>
  <c r="N51" i="9"/>
  <c r="J51" i="9"/>
  <c r="F51" i="9"/>
  <c r="N50" i="9"/>
  <c r="J50" i="9"/>
  <c r="F50" i="9"/>
  <c r="N49" i="9"/>
  <c r="J49" i="9"/>
  <c r="D49" i="9"/>
  <c r="D61" i="9" s="1"/>
  <c r="N47" i="9"/>
  <c r="J47" i="9"/>
  <c r="F47" i="9"/>
  <c r="N46" i="9"/>
  <c r="J46" i="9"/>
  <c r="F46" i="9"/>
  <c r="N45" i="9"/>
  <c r="J45" i="9"/>
  <c r="F45" i="9"/>
  <c r="N44" i="9"/>
  <c r="J44" i="9"/>
  <c r="F44" i="9"/>
  <c r="N43" i="9"/>
  <c r="J43" i="9"/>
  <c r="F43" i="9"/>
  <c r="N42" i="9"/>
  <c r="J42" i="9"/>
  <c r="F42" i="9"/>
  <c r="N41" i="9"/>
  <c r="J41" i="9"/>
  <c r="F41" i="9"/>
  <c r="N40" i="9"/>
  <c r="J40" i="9"/>
  <c r="F40" i="9"/>
  <c r="N39" i="9"/>
  <c r="J39" i="9"/>
  <c r="C39" i="9"/>
  <c r="C61" i="9" s="1"/>
  <c r="M34" i="9"/>
  <c r="K34" i="9"/>
  <c r="I34" i="9"/>
  <c r="G34" i="9"/>
  <c r="E34" i="9"/>
  <c r="D34" i="9"/>
  <c r="C34" i="9"/>
  <c r="N33" i="9"/>
  <c r="J33" i="9"/>
  <c r="F33" i="9"/>
  <c r="N32" i="9"/>
  <c r="J32" i="9"/>
  <c r="F32" i="9"/>
  <c r="N31" i="9"/>
  <c r="J31" i="9"/>
  <c r="F31" i="9"/>
  <c r="N30" i="9"/>
  <c r="J30" i="9"/>
  <c r="F30" i="9"/>
  <c r="N29" i="9"/>
  <c r="J29" i="9"/>
  <c r="F29" i="9"/>
  <c r="N28" i="9"/>
  <c r="J28" i="9"/>
  <c r="F28" i="9"/>
  <c r="M25" i="9"/>
  <c r="L25" i="9"/>
  <c r="K25" i="9"/>
  <c r="I25" i="9"/>
  <c r="H25" i="9"/>
  <c r="G25" i="9"/>
  <c r="E25" i="9"/>
  <c r="N24" i="9"/>
  <c r="J24" i="9"/>
  <c r="D24" i="9"/>
  <c r="D25" i="9" s="1"/>
  <c r="C24" i="9"/>
  <c r="C25" i="9" s="1"/>
  <c r="N23" i="9"/>
  <c r="J23" i="9"/>
  <c r="F23" i="9"/>
  <c r="N22" i="9"/>
  <c r="J22" i="9"/>
  <c r="F22" i="9"/>
  <c r="N21" i="9"/>
  <c r="J21" i="9"/>
  <c r="F21" i="9"/>
  <c r="N20" i="9"/>
  <c r="J20" i="9"/>
  <c r="F20" i="9"/>
  <c r="N18" i="9"/>
  <c r="F18" i="9"/>
  <c r="N14" i="9"/>
  <c r="J14" i="9"/>
  <c r="E14" i="9"/>
  <c r="D14" i="9"/>
  <c r="C14" i="9"/>
  <c r="N12" i="9"/>
  <c r="J12" i="9"/>
  <c r="F12" i="9"/>
  <c r="N10" i="9"/>
  <c r="J10" i="9"/>
  <c r="D10" i="9"/>
  <c r="F10" i="9" s="1"/>
  <c r="N9" i="9"/>
  <c r="J9" i="9"/>
  <c r="E9" i="9"/>
  <c r="D9" i="9"/>
  <c r="C9" i="9"/>
  <c r="N8" i="9"/>
  <c r="J8" i="9"/>
  <c r="F8" i="9"/>
  <c r="N6" i="9"/>
  <c r="J6" i="9"/>
  <c r="F6" i="9"/>
  <c r="F105" i="10" l="1"/>
  <c r="L167" i="10"/>
  <c r="L169" i="10" s="1"/>
  <c r="L168" i="10"/>
  <c r="L170" i="10" s="1"/>
  <c r="F112" i="10"/>
  <c r="F121" i="10" s="1"/>
  <c r="O108" i="10"/>
  <c r="O112" i="10" s="1"/>
  <c r="O166" i="10" s="1"/>
  <c r="J166" i="10"/>
  <c r="M169" i="10"/>
  <c r="M170" i="10"/>
  <c r="M167" i="10"/>
  <c r="M168" i="10"/>
  <c r="K166" i="10"/>
  <c r="G168" i="10"/>
  <c r="G167" i="10"/>
  <c r="G169" i="10" s="1"/>
  <c r="I167" i="10"/>
  <c r="I168" i="10"/>
  <c r="F166" i="10"/>
  <c r="F165" i="10"/>
  <c r="O61" i="10"/>
  <c r="O93" i="10" s="1"/>
  <c r="N167" i="10"/>
  <c r="N170" i="10" s="1"/>
  <c r="N168" i="10"/>
  <c r="N169" i="10"/>
  <c r="O165" i="10"/>
  <c r="O121" i="10"/>
  <c r="C166" i="10"/>
  <c r="E165" i="10"/>
  <c r="E166" i="10"/>
  <c r="H168" i="10"/>
  <c r="H167" i="10"/>
  <c r="D166" i="10"/>
  <c r="D165" i="10"/>
  <c r="F61" i="10"/>
  <c r="F93" i="10" s="1"/>
  <c r="J120" i="9"/>
  <c r="L166" i="9"/>
  <c r="M166" i="9"/>
  <c r="I166" i="9"/>
  <c r="K166" i="9"/>
  <c r="G166" i="9"/>
  <c r="H93" i="9"/>
  <c r="G93" i="9"/>
  <c r="K93" i="9"/>
  <c r="I93" i="9"/>
  <c r="H166" i="9"/>
  <c r="E93" i="9"/>
  <c r="D93" i="9"/>
  <c r="N112" i="9"/>
  <c r="C93" i="9"/>
  <c r="N127" i="9"/>
  <c r="N128" i="9" s="1"/>
  <c r="M93" i="9"/>
  <c r="J92" i="9"/>
  <c r="O115" i="9"/>
  <c r="L93" i="9"/>
  <c r="O162" i="9"/>
  <c r="E105" i="9"/>
  <c r="E121" i="9" s="1"/>
  <c r="F92" i="9"/>
  <c r="O161" i="9"/>
  <c r="N120" i="9"/>
  <c r="O155" i="9"/>
  <c r="O159" i="9"/>
  <c r="O119" i="9"/>
  <c r="O156" i="9"/>
  <c r="J164" i="9"/>
  <c r="N92" i="9"/>
  <c r="J112" i="9"/>
  <c r="C164" i="9"/>
  <c r="J105" i="9"/>
  <c r="D105" i="9"/>
  <c r="N105" i="9"/>
  <c r="J127" i="9"/>
  <c r="J128" i="9" s="1"/>
  <c r="O158" i="9"/>
  <c r="J87" i="9"/>
  <c r="D112" i="9"/>
  <c r="E164" i="9"/>
  <c r="F152" i="9"/>
  <c r="N152" i="9"/>
  <c r="O131" i="9"/>
  <c r="F154" i="9"/>
  <c r="O154" i="9" s="1"/>
  <c r="D164" i="9"/>
  <c r="M128" i="9"/>
  <c r="E128" i="9"/>
  <c r="D128" i="9"/>
  <c r="O137" i="9"/>
  <c r="O138" i="9"/>
  <c r="O143" i="9"/>
  <c r="O149" i="9"/>
  <c r="J11" i="9"/>
  <c r="J15" i="9" s="1"/>
  <c r="N11" i="9"/>
  <c r="G35" i="9"/>
  <c r="O8" i="9"/>
  <c r="O10" i="9"/>
  <c r="M35" i="9"/>
  <c r="O30" i="9"/>
  <c r="H35" i="9"/>
  <c r="O54" i="9"/>
  <c r="O76" i="9"/>
  <c r="O90" i="9"/>
  <c r="O97" i="9"/>
  <c r="G165" i="9"/>
  <c r="I35" i="9"/>
  <c r="K35" i="9"/>
  <c r="O32" i="9"/>
  <c r="O40" i="9"/>
  <c r="N87" i="9"/>
  <c r="O78" i="9"/>
  <c r="O84" i="9"/>
  <c r="C15" i="9"/>
  <c r="C35" i="9" s="1"/>
  <c r="L35" i="9"/>
  <c r="O110" i="9"/>
  <c r="O60" i="9"/>
  <c r="O67" i="9"/>
  <c r="O77" i="9"/>
  <c r="O83" i="9"/>
  <c r="O50" i="9"/>
  <c r="O58" i="9"/>
  <c r="O43" i="9"/>
  <c r="O73" i="9"/>
  <c r="O18" i="9"/>
  <c r="O22" i="9"/>
  <c r="O57" i="9"/>
  <c r="F103" i="9"/>
  <c r="O103" i="9" s="1"/>
  <c r="O124" i="9"/>
  <c r="O126" i="9"/>
  <c r="O66" i="9"/>
  <c r="O45" i="9"/>
  <c r="K121" i="9"/>
  <c r="K165" i="9"/>
  <c r="O56" i="9"/>
  <c r="J34" i="9"/>
  <c r="O41" i="9"/>
  <c r="O46" i="9"/>
  <c r="O85" i="9"/>
  <c r="C112" i="9"/>
  <c r="C121" i="9" s="1"/>
  <c r="O117" i="9"/>
  <c r="L121" i="9"/>
  <c r="O42" i="9"/>
  <c r="O86" i="9"/>
  <c r="E15" i="9"/>
  <c r="E35" i="9" s="1"/>
  <c r="O29" i="9"/>
  <c r="O31" i="9"/>
  <c r="O44" i="9"/>
  <c r="F102" i="9"/>
  <c r="O102" i="9" s="1"/>
  <c r="M121" i="9"/>
  <c r="F82" i="9"/>
  <c r="O82" i="9" s="1"/>
  <c r="F9" i="9"/>
  <c r="O9" i="9" s="1"/>
  <c r="O12" i="9"/>
  <c r="O33" i="9"/>
  <c r="O52" i="9"/>
  <c r="O64" i="9"/>
  <c r="O80" i="9"/>
  <c r="O101" i="9"/>
  <c r="O108" i="9"/>
  <c r="F120" i="9"/>
  <c r="O118" i="9"/>
  <c r="F132" i="9"/>
  <c r="O132" i="9" s="1"/>
  <c r="O59" i="9"/>
  <c r="F34" i="9"/>
  <c r="D15" i="9"/>
  <c r="D35" i="9" s="1"/>
  <c r="O20" i="9"/>
  <c r="O55" i="9"/>
  <c r="J69" i="9"/>
  <c r="O68" i="9"/>
  <c r="O74" i="9"/>
  <c r="O91" i="9"/>
  <c r="O123" i="9"/>
  <c r="O21" i="9"/>
  <c r="J25" i="9"/>
  <c r="O23" i="9"/>
  <c r="J61" i="9"/>
  <c r="O47" i="9"/>
  <c r="N69" i="9"/>
  <c r="O72" i="9"/>
  <c r="I121" i="9"/>
  <c r="H121" i="9"/>
  <c r="M165" i="9"/>
  <c r="F69" i="9"/>
  <c r="N25" i="9"/>
  <c r="N34" i="9"/>
  <c r="N61" i="9"/>
  <c r="O51" i="9"/>
  <c r="O53" i="9"/>
  <c r="O75" i="9"/>
  <c r="O81" i="9"/>
  <c r="F125" i="9"/>
  <c r="O125" i="9" s="1"/>
  <c r="I165" i="9"/>
  <c r="O28" i="9"/>
  <c r="O98" i="9"/>
  <c r="F111" i="9"/>
  <c r="O111" i="9" s="1"/>
  <c r="F157" i="9"/>
  <c r="O157" i="9" s="1"/>
  <c r="F14" i="9"/>
  <c r="O14" i="9" s="1"/>
  <c r="F99" i="9"/>
  <c r="O99" i="9" s="1"/>
  <c r="F24" i="9"/>
  <c r="F39" i="9"/>
  <c r="G128" i="9"/>
  <c r="F160" i="9"/>
  <c r="O160" i="9" s="1"/>
  <c r="G121" i="9"/>
  <c r="O6" i="9"/>
  <c r="F49" i="9"/>
  <c r="O49" i="9" s="1"/>
  <c r="O167" i="10" l="1"/>
  <c r="O168" i="10"/>
  <c r="O170" i="10" s="1"/>
  <c r="O169" i="10"/>
  <c r="J167" i="10"/>
  <c r="J168" i="10"/>
  <c r="I169" i="10"/>
  <c r="I170" i="10" s="1"/>
  <c r="F167" i="10"/>
  <c r="F169" i="10" s="1"/>
  <c r="F168" i="10"/>
  <c r="G170" i="10"/>
  <c r="H169" i="10"/>
  <c r="H170" i="10" s="1"/>
  <c r="K168" i="10"/>
  <c r="K167" i="10"/>
  <c r="J93" i="9"/>
  <c r="E166" i="9"/>
  <c r="J165" i="9"/>
  <c r="J166" i="9"/>
  <c r="D166" i="9"/>
  <c r="N93" i="9"/>
  <c r="O120" i="9"/>
  <c r="O92" i="9"/>
  <c r="O135" i="9"/>
  <c r="D165" i="9"/>
  <c r="E165" i="9"/>
  <c r="O164" i="9"/>
  <c r="O105" i="9"/>
  <c r="F105" i="9"/>
  <c r="O152" i="9"/>
  <c r="F127" i="9"/>
  <c r="F128" i="9" s="1"/>
  <c r="O127" i="9"/>
  <c r="O128" i="9" s="1"/>
  <c r="F135" i="9"/>
  <c r="F112" i="9"/>
  <c r="F164" i="9"/>
  <c r="O112" i="9"/>
  <c r="F87" i="9"/>
  <c r="O11" i="9"/>
  <c r="N15" i="9"/>
  <c r="N166" i="9" s="1"/>
  <c r="D121" i="9"/>
  <c r="J35" i="9"/>
  <c r="N121" i="9"/>
  <c r="O87" i="9"/>
  <c r="O34" i="9"/>
  <c r="J121" i="9"/>
  <c r="F15" i="9"/>
  <c r="O69" i="9"/>
  <c r="K168" i="9"/>
  <c r="K167" i="9"/>
  <c r="H168" i="9"/>
  <c r="H167" i="9"/>
  <c r="M168" i="9"/>
  <c r="M167" i="9"/>
  <c r="O39" i="9"/>
  <c r="O61" i="9" s="1"/>
  <c r="F61" i="9"/>
  <c r="O24" i="9"/>
  <c r="O25" i="9" s="1"/>
  <c r="F25" i="9"/>
  <c r="K169" i="10" l="1"/>
  <c r="K170" i="10" s="1"/>
  <c r="J169" i="10"/>
  <c r="J170" i="10" s="1"/>
  <c r="F170" i="10"/>
  <c r="F93" i="9"/>
  <c r="F166" i="9"/>
  <c r="O93" i="9"/>
  <c r="O15" i="9"/>
  <c r="F165" i="9"/>
  <c r="N35" i="9"/>
  <c r="J167" i="9"/>
  <c r="F121" i="9"/>
  <c r="J168" i="9"/>
  <c r="F35" i="9"/>
  <c r="M169" i="9"/>
  <c r="M170" i="9" s="1"/>
  <c r="H169" i="9"/>
  <c r="H170" i="9" s="1"/>
  <c r="G168" i="9"/>
  <c r="G167" i="9"/>
  <c r="I168" i="9"/>
  <c r="I167" i="9"/>
  <c r="L167" i="9"/>
  <c r="L168" i="9"/>
  <c r="K169" i="9"/>
  <c r="K170" i="9" s="1"/>
  <c r="O168" i="9" l="1"/>
  <c r="O35" i="9"/>
  <c r="J169" i="9"/>
  <c r="J170" i="9" s="1"/>
  <c r="F168" i="9"/>
  <c r="F167" i="9"/>
  <c r="O121" i="9"/>
  <c r="I169" i="9"/>
  <c r="I170" i="9" s="1"/>
  <c r="G169" i="9"/>
  <c r="G170" i="9" s="1"/>
  <c r="L169" i="9"/>
  <c r="L170" i="9" s="1"/>
  <c r="N168" i="9"/>
  <c r="N167" i="9"/>
  <c r="N165" i="9"/>
  <c r="F169" i="9" l="1"/>
  <c r="O167" i="9"/>
  <c r="O169" i="9" s="1"/>
  <c r="O170" i="9" s="1"/>
  <c r="F170" i="9"/>
  <c r="N169" i="9"/>
  <c r="N170" i="9" l="1"/>
</calcChain>
</file>

<file path=xl/sharedStrings.xml><?xml version="1.0" encoding="utf-8"?>
<sst xmlns="http://schemas.openxmlformats.org/spreadsheetml/2006/main" count="390" uniqueCount="165">
  <si>
    <t>Afar</t>
  </si>
  <si>
    <t>Amhara</t>
  </si>
  <si>
    <t>Tigray</t>
  </si>
  <si>
    <t>Policy level interventions</t>
  </si>
  <si>
    <t xml:space="preserve">Capacity gap assessment </t>
  </si>
  <si>
    <t xml:space="preserve">Institutional strengthening </t>
  </si>
  <si>
    <t>Refresher training on core functions, peace support planning and management</t>
  </si>
  <si>
    <t xml:space="preserve">Community consultation on local planning </t>
  </si>
  <si>
    <t xml:space="preserve">Policy level interventions </t>
  </si>
  <si>
    <t xml:space="preserve">Support for regional and cross-regional dialogue </t>
  </si>
  <si>
    <t xml:space="preserve">Support for dialogue between IDPs and host communities </t>
  </si>
  <si>
    <t>Capacity-building on conflict resolution approaches (community leaders)</t>
  </si>
  <si>
    <t>Capacity-building on conflict resolution approaches (community leaders, youth and women)</t>
  </si>
  <si>
    <t xml:space="preserve">Training for personnel in the justice system and security sector </t>
  </si>
  <si>
    <t xml:space="preserve">Support for crime prevention </t>
  </si>
  <si>
    <t>Support for strengthening of human rights-based approach in peace support</t>
  </si>
  <si>
    <t xml:space="preserve">Establishment of Business Emergency Units (BEUs) </t>
  </si>
  <si>
    <t xml:space="preserve">Scale-up of BDS capacity of the region, the Entrepreneurship Development Institute (EDI), business associations and creative/design centres  </t>
  </si>
  <si>
    <t xml:space="preserve">Rapid mapping and assessment of MSMEs impacted by conflict </t>
  </si>
  <si>
    <t xml:space="preserve">BDS and entrepreneurship development training for MSMEs </t>
  </si>
  <si>
    <t xml:space="preserve">Launch of a cash grant facility for MSEs and informal businesses </t>
  </si>
  <si>
    <t xml:space="preserve">Launch of a wage subsidy scheme for SMEs (of whom at least 30% would be female owned) </t>
  </si>
  <si>
    <t xml:space="preserve">Restoring savings and credit cooperatives (SACCOs) and other self-help organizations (SHO) </t>
  </si>
  <si>
    <t xml:space="preserve">Development of a short-term skills training for selected youth through TVETs </t>
  </si>
  <si>
    <t xml:space="preserve">Organisation of new and revival of existing savings and credit cooperatives (SACCOs) and other self-help organizations (SHOs) </t>
  </si>
  <si>
    <t xml:space="preserve">Access to finance to revitalize SACCOs and SHOs unions </t>
  </si>
  <si>
    <t xml:space="preserve">Capacity-building of MFIs, banks and other FIs </t>
  </si>
  <si>
    <t>Facilitation and support to recapitalization of financial institutions and provision of liquidity assistance</t>
  </si>
  <si>
    <t xml:space="preserve">Launch a soft loan facility targeting medium-size enterprises </t>
  </si>
  <si>
    <t xml:space="preserve">Workforce training </t>
  </si>
  <si>
    <t xml:space="preserve">Restoration of EPSA </t>
  </si>
  <si>
    <t>Recruitment of service providers</t>
  </si>
  <si>
    <t>Restoration of DHIS 2</t>
  </si>
  <si>
    <t xml:space="preserve">Restoration of youth friendly service corners </t>
  </si>
  <si>
    <t xml:space="preserve">Refurbishment of health posts </t>
  </si>
  <si>
    <t>Rehabilitation/physiotherapy services</t>
  </si>
  <si>
    <t>Provision of equipment for health facilities</t>
  </si>
  <si>
    <t xml:space="preserve">Restoration of new-born care and ICU </t>
  </si>
  <si>
    <t xml:space="preserve">Restoration of blood bank services </t>
  </si>
  <si>
    <t xml:space="preserve">Restoration of emergency care services </t>
  </si>
  <si>
    <t>Restoration of oxygen supply plants</t>
  </si>
  <si>
    <t>Restoration of laboratory services</t>
  </si>
  <si>
    <t xml:space="preserve">Restoration of dialysis services </t>
  </si>
  <si>
    <t>Restoration of maternity waiting homes</t>
  </si>
  <si>
    <t>Rehabilitation of water and sanitation facilities in health facilities</t>
  </si>
  <si>
    <t>Rehabilitation of water and sanitation facilities in schools</t>
  </si>
  <si>
    <t>Teacher training on revised curricula</t>
  </si>
  <si>
    <t>Teacher training on ECE/integrated methodologies</t>
  </si>
  <si>
    <t>Pedagogy/methodology/initiatives training</t>
  </si>
  <si>
    <t xml:space="preserve">Refresher training and technical support </t>
  </si>
  <si>
    <t xml:space="preserve">Teacher training on life-skills </t>
  </si>
  <si>
    <t xml:space="preserve">Establishment of community referral systems </t>
  </si>
  <si>
    <t>Provision of back-to-school messages</t>
  </si>
  <si>
    <t>Construction of temporary learning spaces</t>
  </si>
  <si>
    <t>Provision of teaching and learning materials</t>
  </si>
  <si>
    <t>Provision of student school supplies</t>
  </si>
  <si>
    <t xml:space="preserve">Incentivizing of 'volunteer' teachers and teachers </t>
  </si>
  <si>
    <t>Rehabilitation/reconstruction of classrooms</t>
  </si>
  <si>
    <t>Reequipping of schools with furniture/equipment</t>
  </si>
  <si>
    <t>Decommissioning of facilities used by IDPs</t>
  </si>
  <si>
    <t xml:space="preserve">Support for existing GBV services </t>
  </si>
  <si>
    <t xml:space="preserve">Support for new or rehabilitation of existing GBV facilities </t>
  </si>
  <si>
    <t>Return to places of origin</t>
  </si>
  <si>
    <t>Relocation</t>
  </si>
  <si>
    <t>Local Integration</t>
  </si>
  <si>
    <t xml:space="preserve">Project Management </t>
  </si>
  <si>
    <t>Project evaluation (mid-term and final)</t>
  </si>
  <si>
    <t>Total for 2024</t>
  </si>
  <si>
    <t>Total for 2025</t>
  </si>
  <si>
    <t>Total for 2023-2025</t>
  </si>
  <si>
    <t>Total for 2023</t>
  </si>
  <si>
    <t>FY 2024</t>
  </si>
  <si>
    <t>FY 2025</t>
  </si>
  <si>
    <t>FY 2023</t>
  </si>
  <si>
    <t>DPC (5%)</t>
  </si>
  <si>
    <t>GMS (8%)</t>
  </si>
  <si>
    <t>Coordination Levy (1%)</t>
  </si>
  <si>
    <t xml:space="preserve">Grand Total </t>
  </si>
  <si>
    <t>Senior Peace Support Specialist  - Amhara</t>
  </si>
  <si>
    <t>Programme  Associate  - Amhara</t>
  </si>
  <si>
    <t>Driver  - Amhara</t>
  </si>
  <si>
    <t>Senior Peace Support Specialist  - Afar</t>
  </si>
  <si>
    <t>Programme Associate - Afar</t>
  </si>
  <si>
    <t>Driver - Afar</t>
  </si>
  <si>
    <t>Senior Peace Support Specialist  - Tigray</t>
  </si>
  <si>
    <t>Programme  Associate  - Tigray</t>
  </si>
  <si>
    <t>Driver - Tigray</t>
  </si>
  <si>
    <t xml:space="preserve">Monitoring, Evaluation and Learning </t>
  </si>
  <si>
    <t>Peace Support Office - Regions</t>
  </si>
  <si>
    <t>Peace Support Office - Addis</t>
  </si>
  <si>
    <t xml:space="preserve">Window 1 Total </t>
  </si>
  <si>
    <t xml:space="preserve">Window 2 Total </t>
  </si>
  <si>
    <t xml:space="preserve">Window 3 Total </t>
  </si>
  <si>
    <t xml:space="preserve">Window 5 Total </t>
  </si>
  <si>
    <t>Project office running costs (office rent and utilities for three regional offices)</t>
  </si>
  <si>
    <t>Project Management Total</t>
  </si>
  <si>
    <t xml:space="preserve">A.  Restore key governance functions </t>
  </si>
  <si>
    <t>B.  Rebuild trust, peace, and social cohesion</t>
  </si>
  <si>
    <t>sub-total</t>
  </si>
  <si>
    <t>C.  Human rights, rule of law and transitional justice</t>
  </si>
  <si>
    <r>
      <t>Institutional strengthening</t>
    </r>
    <r>
      <rPr>
        <sz val="11"/>
        <color rgb="FF000000"/>
        <rFont val="Calibri"/>
        <family val="2"/>
        <scheme val="minor"/>
      </rPr>
      <t> </t>
    </r>
  </si>
  <si>
    <t xml:space="preserve">Window 1:  Local Governance, Human Rights and Social Cohesion </t>
  </si>
  <si>
    <t xml:space="preserve">Window 2:  Basic Social Services </t>
  </si>
  <si>
    <t xml:space="preserve">A. Health </t>
  </si>
  <si>
    <t>B.  WASH</t>
  </si>
  <si>
    <t xml:space="preserve">sub-total </t>
  </si>
  <si>
    <t>Institutional strengthening</t>
  </si>
  <si>
    <t>Window 3:  Economic Revival</t>
  </si>
  <si>
    <t>A.  MSMEs</t>
  </si>
  <si>
    <t xml:space="preserve">B.  Livelihood Recovery and Jobs </t>
  </si>
  <si>
    <t>C.  Financial Sector</t>
  </si>
  <si>
    <t xml:space="preserve">Window 5: Development Solutions to Internal Displacement </t>
  </si>
  <si>
    <t>Investment in service delivery infrastructure</t>
  </si>
  <si>
    <t>Investment in service delivery infranstructure</t>
  </si>
  <si>
    <t>Windows/Activities</t>
  </si>
  <si>
    <t>Capacity-building for rehabilitation and recovery offices (RROs)</t>
  </si>
  <si>
    <t>Support to NEBE for future elections in Tigray)</t>
  </si>
  <si>
    <t>Restoration, rebuilding and refurbishment (buildings, vehicles and equipment)</t>
  </si>
  <si>
    <t xml:space="preserve">Stakeholder mapping and capacity-building for inclusive peace </t>
  </si>
  <si>
    <t>Strengthened regional peace architecture and capacities for sustainability</t>
  </si>
  <si>
    <t xml:space="preserve">Support local consultations to address transitional justice needs </t>
  </si>
  <si>
    <t xml:space="preserve">Awareness-raising on accountability and the fight against impunity </t>
  </si>
  <si>
    <t>Increased access to justice (courts, services)</t>
  </si>
  <si>
    <t>Training/re-training of service delivery staff</t>
  </si>
  <si>
    <t>Capacity-building of health training centers/colleges</t>
  </si>
  <si>
    <t xml:space="preserve">Development of RCCE </t>
  </si>
  <si>
    <t xml:space="preserve">Development/rollout of guidelines, standards and protocols </t>
  </si>
  <si>
    <t xml:space="preserve">Refurbishment of health centres </t>
  </si>
  <si>
    <t>Procurement of ambulances and other vehicles</t>
  </si>
  <si>
    <t>Re-establishment/equipping of Water and Utility Offices and WASH Coms in the affected zones (includes provision of tools/equipment, office equipment, vehicles/motorcycles)</t>
  </si>
  <si>
    <t>Rehabilitation of damaged water systems (includes supply of electro mechanicals equipment, water quality kits and chemicals, piping, and fittings)</t>
  </si>
  <si>
    <t>Restoration of one-stop shop service centres</t>
  </si>
  <si>
    <t>Community Social Action Funds (for small-scale, labour-intensive physical works)</t>
  </si>
  <si>
    <t>Protection interventions</t>
  </si>
  <si>
    <t>Creation of a rigourous monitoring and assessment framework for peace support operations (baseline, periodic tracking)</t>
  </si>
  <si>
    <t xml:space="preserve">Independent periodic reviews of progress </t>
  </si>
  <si>
    <t xml:space="preserve">Action research and knowledge creation on peace support operations </t>
  </si>
  <si>
    <t>Peace Support Director (P6)</t>
  </si>
  <si>
    <t>Peace Support Advisor (P5)</t>
  </si>
  <si>
    <t>Planning and Coordination Specialist (NOC)</t>
  </si>
  <si>
    <t>Monitoring &amp; Evaluation/Reporting Specialist (NOC)</t>
  </si>
  <si>
    <t>Operations  Manager (NOC)</t>
  </si>
  <si>
    <t>Procurement Specialist (NOC)</t>
  </si>
  <si>
    <t>Planning and Coordination Specialist (P4)</t>
  </si>
  <si>
    <t>Monitoring &amp; Evaluation/Reporting Specialist (P3)</t>
  </si>
  <si>
    <t>Partnership and Communications Specialist (P3)</t>
  </si>
  <si>
    <t>Gender Specialist (P3)</t>
  </si>
  <si>
    <t>Programme  Associates (G)</t>
  </si>
  <si>
    <t>Drivers (G)</t>
  </si>
  <si>
    <t>Finance Specialist (NOD)</t>
  </si>
  <si>
    <t>Finance Officer (NOB)</t>
  </si>
  <si>
    <t>Project office running costs</t>
  </si>
  <si>
    <t>Note on Methodology:</t>
  </si>
  <si>
    <t>2. The budget has been designed to be fully consistent in methodology and nomenclature with the approach taken in the national Resilient Recovery and Reconstruction Framework (3RF) and the UN's Peace Support Proposal.  This ensures coherence and comparability.</t>
  </si>
  <si>
    <t>4.  The funding plan for the project is as follows:</t>
  </si>
  <si>
    <t>a.  UNDP is expected to contribute USD 18,000,000 over the project period</t>
  </si>
  <si>
    <t>b. Based on current commitments and conversations, GFFO is expected to contribute EUR 10,000,000 for 2023-24 as a first instalment, with the possiblity of additional financing at the same or higher level during the remaining period of the project.</t>
  </si>
  <si>
    <t>c.  Also based on on-going conversations, the EU may contribute EUR 15-20,000,000 to the project.</t>
  </si>
  <si>
    <t>d.  Discussions are advancing on a contribution from Japan of USD 10,000,000 or more for the project .</t>
  </si>
  <si>
    <t>5.  The UN official exchange rate for June has been used where appropriate: 1 USD = 0.913 EUR</t>
  </si>
  <si>
    <t>1. The Peace Support in Northern Ethiopia Project has been designed as a multi-partner funded initiative and as such the budget breakdown above is for the project as a whole with the exception of Window 4 on DDR which is the focus of a separate but coordinated project (under preparation).</t>
  </si>
  <si>
    <t xml:space="preserve">Sum of Sub totals </t>
  </si>
  <si>
    <t xml:space="preserve">C.  Education </t>
  </si>
  <si>
    <t>D.  Gender-Based Violence</t>
  </si>
  <si>
    <t>3.  Costs have been prorated from the budget prepared for the UN Peace Support Proposal as a proportion of all conflict-impacted woredas targeted by UNDP, with some adjustments made on individual budget lines that were not appropriate for the target woredas.  The UN's budget - a total of USD 2.4 billion over 2 years - was prepared by experts in their respective fields using as a reference Vol. B of the 3RF which provides costs for recovery and reconstruction as well as the latest data available to UN agencies and entities.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</si>
</sst>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_(* #,##0_);_(* \(#,##0\);_(* &quot;-&quot;??_);_(@_)"/>
  </numFmts>
  <fonts count="32" x14ac:knownFonts="1">
    <font>
      <sz val="11"/>
      <color theme="1"/>
      <name val="Calibri"/>
      <family val="2"/>
      <scheme val="minor"/>
    </font>
    <font>
      <sz val="11"/>
      <color theme="1"/>
      <name val="Calibri"/>
      <family val="2"/>
      <scheme val="minor"/>
    </font>
    <font>
      <b/>
      <sz val="11"/>
      <color theme="1"/>
      <name val="Calibri"/>
      <family val="2"/>
      <scheme val="minor"/>
    </font>
    <font>
      <b/>
      <sz val="12"/>
      <color rgb="FF000000"/>
      <name val="Calibri"/>
      <family val="2"/>
      <scheme val="minor"/>
    </font>
    <font>
      <b/>
      <sz val="10"/>
      <color rgb="FF000000"/>
      <name val="Calibri"/>
      <family val="2"/>
      <scheme val="minor"/>
    </font>
    <font>
      <sz val="9"/>
      <color rgb="FF000000"/>
      <name val="Calibri"/>
      <family val="2"/>
      <scheme val="minor"/>
    </font>
    <font>
      <b/>
      <sz val="9"/>
      <color rgb="FF000000"/>
      <name val="Calibri"/>
      <family val="2"/>
      <scheme val="minor"/>
    </font>
    <font>
      <sz val="9"/>
      <color theme="1"/>
      <name val="Calibri"/>
      <family val="2"/>
      <scheme val="minor"/>
    </font>
    <font>
      <sz val="12"/>
      <color theme="1"/>
      <name val="Calibri"/>
      <family val="2"/>
      <scheme val="minor"/>
    </font>
    <font>
      <b/>
      <sz val="14"/>
      <color rgb="FF000000"/>
      <name val="Calibri"/>
      <family val="2"/>
      <scheme val="minor"/>
    </font>
    <font>
      <b/>
      <sz val="11"/>
      <color rgb="FF000000"/>
      <name val="Calibri"/>
      <family val="2"/>
      <scheme val="minor"/>
    </font>
    <font>
      <b/>
      <sz val="13"/>
      <color rgb="FF000000"/>
      <name val="Calibri"/>
      <family val="2"/>
      <scheme val="minor"/>
    </font>
    <font>
      <b/>
      <sz val="12"/>
      <color theme="1"/>
      <name val="Calibri"/>
      <family val="2"/>
      <scheme val="minor"/>
    </font>
    <font>
      <sz val="10"/>
      <name val="Calibri Light"/>
      <family val="2"/>
    </font>
    <font>
      <i/>
      <sz val="11"/>
      <color theme="1"/>
      <name val="Calibri"/>
      <family val="2"/>
      <scheme val="minor"/>
    </font>
    <font>
      <b/>
      <i/>
      <sz val="11"/>
      <color theme="1"/>
      <name val="Calibri"/>
      <family val="2"/>
      <scheme val="minor"/>
    </font>
    <font>
      <sz val="14"/>
      <color theme="1"/>
      <name val="Calibri"/>
      <family val="2"/>
      <scheme val="minor"/>
    </font>
    <font>
      <b/>
      <sz val="10"/>
      <color theme="1"/>
      <name val="Calibri"/>
      <family val="2"/>
      <scheme val="minor"/>
    </font>
    <font>
      <sz val="10"/>
      <color theme="1"/>
      <name val="Calibri"/>
      <family val="2"/>
      <scheme val="minor"/>
    </font>
    <font>
      <b/>
      <i/>
      <sz val="9"/>
      <color theme="1"/>
      <name val="Calibri"/>
      <family val="2"/>
      <scheme val="minor"/>
    </font>
    <font>
      <sz val="10"/>
      <color rgb="FF000000"/>
      <name val="Calibri"/>
      <family val="2"/>
      <scheme val="minor"/>
    </font>
    <font>
      <sz val="11"/>
      <color rgb="FF000000"/>
      <name val="Calibri"/>
      <family val="2"/>
      <scheme val="minor"/>
    </font>
    <font>
      <b/>
      <sz val="13"/>
      <name val="Calibri"/>
      <family val="2"/>
      <scheme val="minor"/>
    </font>
    <font>
      <b/>
      <sz val="16"/>
      <color theme="1"/>
      <name val="Calibri"/>
      <family val="2"/>
      <scheme val="minor"/>
    </font>
    <font>
      <sz val="10"/>
      <name val="Calibri"/>
      <family val="2"/>
      <scheme val="minor"/>
    </font>
    <font>
      <b/>
      <sz val="16"/>
      <color rgb="FF000000"/>
      <name val="Calibri"/>
      <family val="2"/>
      <scheme val="minor"/>
    </font>
    <font>
      <b/>
      <sz val="18"/>
      <color theme="1"/>
      <name val="Calibri"/>
      <family val="2"/>
      <scheme val="minor"/>
    </font>
    <font>
      <i/>
      <sz val="16"/>
      <color theme="1"/>
      <name val="Calibri"/>
      <family val="2"/>
      <scheme val="minor"/>
    </font>
    <font>
      <b/>
      <u/>
      <sz val="14"/>
      <color rgb="FF0070C0"/>
      <name val="Calibri"/>
      <family val="2"/>
      <scheme val="minor"/>
    </font>
    <font>
      <b/>
      <sz val="18"/>
      <color rgb="FFFF0000"/>
      <name val="Calibri"/>
      <family val="2"/>
      <scheme val="minor"/>
    </font>
    <font>
      <b/>
      <sz val="14"/>
      <color theme="1"/>
      <name val="Calibri"/>
      <family val="2"/>
      <scheme val="minor"/>
    </font>
    <font>
      <b/>
      <sz val="18"/>
      <name val="Calibri"/>
      <family val="2"/>
      <scheme val="minor"/>
    </font>
  </fonts>
  <fills count="13">
    <fill>
      <patternFill patternType="none"/>
    </fill>
    <fill>
      <patternFill patternType="gray125"/>
    </fill>
    <fill>
      <patternFill patternType="solid">
        <fgColor rgb="FFD9E2F3"/>
        <bgColor indexed="64"/>
      </patternFill>
    </fill>
    <fill>
      <patternFill patternType="solid">
        <fgColor rgb="FFDDEBF7"/>
        <bgColor indexed="64"/>
      </patternFill>
    </fill>
    <fill>
      <patternFill patternType="solid">
        <fgColor rgb="FFFFFFFF"/>
        <bgColor indexed="64"/>
      </patternFill>
    </fill>
    <fill>
      <patternFill patternType="solid">
        <fgColor theme="0"/>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7" tint="0.39997558519241921"/>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ck">
        <color indexed="64"/>
      </top>
      <bottom style="thick">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208">
    <xf numFmtId="0" fontId="0" fillId="0" borderId="0" xfId="0"/>
    <xf numFmtId="0" fontId="2" fillId="0" borderId="0" xfId="0" applyFont="1" applyAlignment="1">
      <alignment wrapText="1"/>
    </xf>
    <xf numFmtId="0" fontId="0" fillId="0" borderId="0" xfId="0" applyAlignment="1">
      <alignment wrapText="1"/>
    </xf>
    <xf numFmtId="165" fontId="7" fillId="0" borderId="1" xfId="1" applyNumberFormat="1" applyFont="1" applyBorder="1" applyAlignment="1">
      <alignment vertical="center" wrapText="1"/>
    </xf>
    <xf numFmtId="165" fontId="0" fillId="0" borderId="1" xfId="1" applyNumberFormat="1" applyFont="1" applyBorder="1" applyAlignment="1">
      <alignment vertical="center" wrapText="1"/>
    </xf>
    <xf numFmtId="165" fontId="6" fillId="0" borderId="1" xfId="1" applyNumberFormat="1" applyFont="1" applyBorder="1" applyAlignment="1">
      <alignment horizontal="right" vertical="center" wrapText="1"/>
    </xf>
    <xf numFmtId="165" fontId="6" fillId="2" borderId="1" xfId="1" applyNumberFormat="1" applyFont="1" applyFill="1" applyBorder="1" applyAlignment="1">
      <alignment horizontal="right" vertical="center" wrapText="1"/>
    </xf>
    <xf numFmtId="165" fontId="6" fillId="2" borderId="1" xfId="1" applyNumberFormat="1" applyFont="1" applyFill="1" applyBorder="1" applyAlignment="1">
      <alignment vertical="center" wrapText="1"/>
    </xf>
    <xf numFmtId="3" fontId="13" fillId="0" borderId="1" xfId="0" applyNumberFormat="1" applyFont="1" applyBorder="1"/>
    <xf numFmtId="165" fontId="2" fillId="0" borderId="1" xfId="1" applyNumberFormat="1" applyFont="1" applyBorder="1" applyAlignment="1">
      <alignment vertical="center" wrapText="1"/>
    </xf>
    <xf numFmtId="165" fontId="5" fillId="0" borderId="1" xfId="1" applyNumberFormat="1" applyFont="1" applyBorder="1" applyAlignment="1">
      <alignment vertical="center" wrapText="1"/>
    </xf>
    <xf numFmtId="165" fontId="6" fillId="0" borderId="1" xfId="1" applyNumberFormat="1" applyFont="1" applyBorder="1" applyAlignment="1">
      <alignment vertical="center" wrapText="1"/>
    </xf>
    <xf numFmtId="0" fontId="14" fillId="0" borderId="0" xfId="0" applyFont="1" applyAlignment="1">
      <alignment wrapText="1"/>
    </xf>
    <xf numFmtId="0" fontId="8" fillId="0" borderId="0" xfId="0" applyFont="1" applyAlignment="1">
      <alignment wrapText="1"/>
    </xf>
    <xf numFmtId="0" fontId="16" fillId="0" borderId="0" xfId="0" applyFont="1" applyAlignment="1">
      <alignment wrapText="1"/>
    </xf>
    <xf numFmtId="0" fontId="12" fillId="0" borderId="0" xfId="0" applyFont="1" applyAlignment="1">
      <alignment wrapText="1"/>
    </xf>
    <xf numFmtId="0" fontId="17" fillId="0" borderId="0" xfId="0" applyFont="1" applyAlignment="1">
      <alignment wrapText="1"/>
    </xf>
    <xf numFmtId="165" fontId="0" fillId="0" borderId="0" xfId="0" applyNumberFormat="1" applyAlignment="1">
      <alignment wrapText="1"/>
    </xf>
    <xf numFmtId="165" fontId="18" fillId="0" borderId="1" xfId="1" applyNumberFormat="1" applyFont="1" applyBorder="1" applyAlignment="1">
      <alignment wrapText="1"/>
    </xf>
    <xf numFmtId="0" fontId="18" fillId="0" borderId="0" xfId="0" applyFont="1" applyAlignment="1">
      <alignment wrapText="1"/>
    </xf>
    <xf numFmtId="165" fontId="0" fillId="0" borderId="0" xfId="0" applyNumberFormat="1"/>
    <xf numFmtId="0" fontId="8" fillId="0" borderId="0" xfId="0" applyFont="1"/>
    <xf numFmtId="43" fontId="15" fillId="0" borderId="0" xfId="0" applyNumberFormat="1" applyFont="1"/>
    <xf numFmtId="0" fontId="15" fillId="0" borderId="0" xfId="0" applyFont="1" applyAlignment="1">
      <alignment wrapText="1"/>
    </xf>
    <xf numFmtId="0" fontId="15" fillId="0" borderId="0" xfId="0" applyFont="1"/>
    <xf numFmtId="0" fontId="19" fillId="0" borderId="0" xfId="0" applyFont="1" applyAlignment="1">
      <alignment wrapText="1"/>
    </xf>
    <xf numFmtId="0" fontId="19" fillId="0" borderId="0" xfId="0" applyFont="1" applyAlignment="1">
      <alignment horizontal="center" wrapText="1"/>
    </xf>
    <xf numFmtId="164" fontId="19" fillId="0" borderId="0" xfId="2" applyNumberFormat="1" applyFont="1" applyBorder="1" applyAlignment="1">
      <alignment horizontal="center" wrapText="1"/>
    </xf>
    <xf numFmtId="0" fontId="2" fillId="0" borderId="0" xfId="0" applyFont="1"/>
    <xf numFmtId="43" fontId="12" fillId="0" borderId="0" xfId="0" applyNumberFormat="1" applyFont="1"/>
    <xf numFmtId="165" fontId="10" fillId="5" borderId="1" xfId="1" applyNumberFormat="1" applyFont="1" applyFill="1" applyBorder="1" applyAlignment="1">
      <alignment horizontal="right" vertical="center" wrapText="1"/>
    </xf>
    <xf numFmtId="165" fontId="10" fillId="5" borderId="1" xfId="1" applyNumberFormat="1" applyFont="1" applyFill="1" applyBorder="1" applyAlignment="1">
      <alignment horizontal="center" vertical="center" wrapText="1"/>
    </xf>
    <xf numFmtId="165" fontId="4" fillId="5" borderId="1" xfId="1" applyNumberFormat="1" applyFont="1" applyFill="1" applyBorder="1" applyAlignment="1">
      <alignment horizontal="right" vertical="center" wrapText="1"/>
    </xf>
    <xf numFmtId="165" fontId="2" fillId="5" borderId="1" xfId="1" applyNumberFormat="1" applyFont="1" applyFill="1" applyBorder="1" applyAlignment="1">
      <alignment horizontal="right" vertical="center" wrapText="1"/>
    </xf>
    <xf numFmtId="165" fontId="10" fillId="9" borderId="1" xfId="1" applyNumberFormat="1" applyFont="1" applyFill="1" applyBorder="1" applyAlignment="1">
      <alignment vertical="center" wrapText="1"/>
    </xf>
    <xf numFmtId="165" fontId="10" fillId="5" borderId="1" xfId="1" applyNumberFormat="1" applyFont="1" applyFill="1" applyBorder="1" applyAlignment="1">
      <alignment vertical="center" wrapText="1"/>
    </xf>
    <xf numFmtId="165" fontId="20" fillId="0" borderId="1" xfId="1" applyNumberFormat="1" applyFont="1" applyBorder="1" applyAlignment="1">
      <alignment vertical="center" wrapText="1"/>
    </xf>
    <xf numFmtId="165" fontId="4" fillId="0" borderId="1" xfId="1" applyNumberFormat="1" applyFont="1" applyBorder="1" applyAlignment="1">
      <alignment vertical="center" wrapText="1"/>
    </xf>
    <xf numFmtId="165" fontId="20" fillId="0" borderId="1"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165" fontId="17" fillId="0" borderId="1" xfId="1" applyNumberFormat="1" applyFont="1" applyBorder="1" applyAlignment="1">
      <alignment vertical="center" wrapText="1"/>
    </xf>
    <xf numFmtId="165" fontId="4" fillId="0" borderId="1" xfId="1" applyNumberFormat="1" applyFont="1" applyBorder="1" applyAlignment="1">
      <alignment horizontal="right" vertical="center" wrapText="1"/>
    </xf>
    <xf numFmtId="165" fontId="24" fillId="0" borderId="1" xfId="1" applyNumberFormat="1" applyFont="1" applyBorder="1" applyAlignment="1">
      <alignment vertical="center" wrapText="1"/>
    </xf>
    <xf numFmtId="165" fontId="18" fillId="0" borderId="1" xfId="1" applyNumberFormat="1" applyFont="1" applyBorder="1" applyAlignment="1">
      <alignment vertical="center" wrapText="1"/>
    </xf>
    <xf numFmtId="165" fontId="18" fillId="0" borderId="1" xfId="1" applyNumberFormat="1" applyFont="1" applyBorder="1" applyAlignment="1">
      <alignment horizontal="center" vertical="center" wrapText="1"/>
    </xf>
    <xf numFmtId="165" fontId="20" fillId="0" borderId="1" xfId="1" applyNumberFormat="1" applyFont="1" applyBorder="1" applyAlignment="1">
      <alignment horizontal="right" vertical="center" wrapText="1"/>
    </xf>
    <xf numFmtId="43" fontId="20" fillId="0" borderId="1" xfId="1" applyFont="1" applyBorder="1" applyAlignment="1">
      <alignment vertical="center" wrapText="1"/>
    </xf>
    <xf numFmtId="165" fontId="18" fillId="0" borderId="1" xfId="1" applyNumberFormat="1" applyFont="1" applyBorder="1" applyAlignment="1">
      <alignment horizontal="right" vertical="center" wrapText="1"/>
    </xf>
    <xf numFmtId="165" fontId="20" fillId="4" borderId="1" xfId="1" applyNumberFormat="1" applyFont="1" applyFill="1" applyBorder="1" applyAlignment="1">
      <alignment vertical="center" wrapText="1"/>
    </xf>
    <xf numFmtId="165" fontId="20" fillId="4" borderId="1" xfId="1" applyNumberFormat="1" applyFont="1" applyFill="1" applyBorder="1" applyAlignment="1">
      <alignment horizontal="right" vertical="center" wrapText="1"/>
    </xf>
    <xf numFmtId="0" fontId="18" fillId="0" borderId="1" xfId="0" applyFont="1" applyBorder="1" applyAlignment="1">
      <alignment wrapText="1"/>
    </xf>
    <xf numFmtId="3" fontId="20" fillId="0" borderId="1" xfId="0" applyNumberFormat="1" applyFont="1" applyBorder="1" applyAlignment="1">
      <alignment horizontal="right" vertical="center"/>
    </xf>
    <xf numFmtId="165" fontId="4" fillId="0" borderId="2" xfId="1" applyNumberFormat="1" applyFont="1" applyBorder="1" applyAlignment="1">
      <alignment horizontal="right" vertical="center" wrapText="1"/>
    </xf>
    <xf numFmtId="165" fontId="20" fillId="5" borderId="1" xfId="1" applyNumberFormat="1" applyFont="1" applyFill="1" applyBorder="1" applyAlignment="1">
      <alignment vertical="center" wrapText="1"/>
    </xf>
    <xf numFmtId="165" fontId="4" fillId="5" borderId="1" xfId="1" applyNumberFormat="1" applyFont="1" applyFill="1" applyBorder="1" applyAlignment="1">
      <alignment vertical="center" wrapText="1"/>
    </xf>
    <xf numFmtId="165" fontId="24" fillId="4" borderId="1" xfId="1" applyNumberFormat="1" applyFont="1" applyFill="1" applyBorder="1" applyAlignment="1">
      <alignment vertical="center" wrapText="1"/>
    </xf>
    <xf numFmtId="165" fontId="17" fillId="0" borderId="1" xfId="1" applyNumberFormat="1" applyFont="1" applyBorder="1" applyAlignment="1">
      <alignment wrapText="1"/>
    </xf>
    <xf numFmtId="0" fontId="8" fillId="6" borderId="1" xfId="0" applyFont="1" applyFill="1" applyBorder="1" applyAlignment="1">
      <alignment wrapText="1"/>
    </xf>
    <xf numFmtId="0" fontId="23" fillId="8" borderId="1" xfId="0" applyFont="1" applyFill="1" applyBorder="1" applyAlignment="1">
      <alignment wrapText="1"/>
    </xf>
    <xf numFmtId="0" fontId="25" fillId="6" borderId="6" xfId="0" applyFont="1" applyFill="1" applyBorder="1" applyAlignment="1">
      <alignment vertical="center" wrapText="1"/>
    </xf>
    <xf numFmtId="0" fontId="25" fillId="6" borderId="6" xfId="0" applyFont="1" applyFill="1" applyBorder="1" applyAlignment="1">
      <alignment horizontal="center" vertical="center" wrapText="1"/>
    </xf>
    <xf numFmtId="165" fontId="9" fillId="11" borderId="6" xfId="1" applyNumberFormat="1" applyFont="1" applyFill="1" applyBorder="1" applyAlignment="1">
      <alignment horizontal="right" vertical="center" wrapText="1"/>
    </xf>
    <xf numFmtId="165" fontId="9" fillId="11" borderId="1" xfId="1" applyNumberFormat="1" applyFont="1" applyFill="1" applyBorder="1" applyAlignment="1">
      <alignment horizontal="right" vertical="center" wrapText="1"/>
    </xf>
    <xf numFmtId="165" fontId="9" fillId="11" borderId="1" xfId="1" applyNumberFormat="1" applyFont="1" applyFill="1" applyBorder="1" applyAlignment="1">
      <alignment vertical="center" wrapText="1"/>
    </xf>
    <xf numFmtId="0" fontId="26" fillId="11" borderId="1" xfId="0" applyFont="1" applyFill="1" applyBorder="1" applyAlignment="1">
      <alignment horizontal="right" wrapText="1"/>
    </xf>
    <xf numFmtId="165" fontId="26" fillId="11" borderId="1" xfId="0" applyNumberFormat="1" applyFont="1" applyFill="1" applyBorder="1" applyAlignment="1">
      <alignment wrapText="1"/>
    </xf>
    <xf numFmtId="165" fontId="20" fillId="0" borderId="3" xfId="1" applyNumberFormat="1" applyFont="1" applyBorder="1" applyAlignment="1">
      <alignment vertical="center" wrapText="1"/>
    </xf>
    <xf numFmtId="165" fontId="4" fillId="0" borderId="3" xfId="1" applyNumberFormat="1" applyFont="1" applyBorder="1" applyAlignment="1">
      <alignment vertical="center" wrapText="1"/>
    </xf>
    <xf numFmtId="165" fontId="20" fillId="0" borderId="3" xfId="1" applyNumberFormat="1" applyFont="1" applyBorder="1" applyAlignment="1">
      <alignment horizontal="right" vertical="center" wrapText="1"/>
    </xf>
    <xf numFmtId="3" fontId="20" fillId="0" borderId="3" xfId="0" applyNumberFormat="1" applyFont="1" applyBorder="1" applyAlignment="1">
      <alignment horizontal="right" vertical="center"/>
    </xf>
    <xf numFmtId="165" fontId="4" fillId="0" borderId="9" xfId="1" applyNumberFormat="1" applyFont="1" applyBorder="1" applyAlignment="1">
      <alignment horizontal="right" vertical="center" wrapText="1"/>
    </xf>
    <xf numFmtId="165" fontId="4" fillId="0" borderId="3" xfId="1" applyNumberFormat="1" applyFont="1" applyBorder="1" applyAlignment="1">
      <alignment horizontal="right" vertical="center" wrapText="1"/>
    </xf>
    <xf numFmtId="0" fontId="27" fillId="0" borderId="0" xfId="0" applyFont="1" applyAlignment="1">
      <alignment wrapText="1"/>
    </xf>
    <xf numFmtId="0" fontId="0" fillId="0" borderId="0" xfId="0" applyAlignment="1">
      <alignment vertical="center"/>
    </xf>
    <xf numFmtId="0" fontId="14" fillId="0" borderId="0" xfId="0" applyFont="1" applyAlignment="1">
      <alignment vertical="center"/>
    </xf>
    <xf numFmtId="0" fontId="28" fillId="0" borderId="0" xfId="0" applyFont="1" applyAlignment="1">
      <alignment wrapText="1"/>
    </xf>
    <xf numFmtId="0" fontId="14" fillId="0" borderId="0" xfId="0" applyFont="1" applyAlignment="1">
      <alignment horizontal="left" vertical="center" indent="1"/>
    </xf>
    <xf numFmtId="165" fontId="29" fillId="11" borderId="1" xfId="0" applyNumberFormat="1" applyFont="1" applyFill="1" applyBorder="1" applyAlignment="1">
      <alignment wrapText="1"/>
    </xf>
    <xf numFmtId="165" fontId="2" fillId="0" borderId="0" xfId="0" applyNumberFormat="1" applyFont="1" applyAlignment="1">
      <alignment wrapText="1"/>
    </xf>
    <xf numFmtId="0" fontId="30" fillId="6" borderId="1" xfId="0" applyFont="1" applyFill="1" applyBorder="1" applyAlignment="1">
      <alignment wrapText="1"/>
    </xf>
    <xf numFmtId="165" fontId="30" fillId="0" borderId="0" xfId="0" applyNumberFormat="1" applyFont="1" applyAlignment="1">
      <alignment wrapText="1"/>
    </xf>
    <xf numFmtId="0" fontId="30" fillId="0" borderId="0" xfId="0" applyFont="1" applyAlignment="1">
      <alignment wrapText="1"/>
    </xf>
    <xf numFmtId="165" fontId="30" fillId="6" borderId="1" xfId="1" applyNumberFormat="1" applyFont="1" applyFill="1" applyBorder="1" applyAlignment="1">
      <alignment wrapText="1"/>
    </xf>
    <xf numFmtId="165" fontId="8" fillId="6" borderId="1" xfId="1" applyNumberFormat="1" applyFont="1" applyFill="1" applyBorder="1" applyAlignment="1">
      <alignment wrapText="1"/>
    </xf>
    <xf numFmtId="165" fontId="12" fillId="6" borderId="1" xfId="1" applyNumberFormat="1" applyFont="1" applyFill="1" applyBorder="1" applyAlignment="1">
      <alignment wrapText="1"/>
    </xf>
    <xf numFmtId="165" fontId="12" fillId="0" borderId="0" xfId="0" applyNumberFormat="1" applyFont="1" applyAlignment="1">
      <alignment wrapText="1"/>
    </xf>
    <xf numFmtId="165" fontId="15" fillId="0" borderId="0" xfId="0" applyNumberFormat="1" applyFont="1" applyAlignment="1">
      <alignment wrapText="1"/>
    </xf>
    <xf numFmtId="0" fontId="25" fillId="12" borderId="6" xfId="0" applyFont="1" applyFill="1" applyBorder="1" applyAlignment="1">
      <alignment horizontal="center" vertical="center" wrapText="1"/>
    </xf>
    <xf numFmtId="165" fontId="20" fillId="12" borderId="1" xfId="1" applyNumberFormat="1" applyFont="1" applyFill="1" applyBorder="1" applyAlignment="1">
      <alignment horizontal="center" vertical="center" wrapText="1"/>
    </xf>
    <xf numFmtId="165" fontId="4" fillId="12" borderId="1" xfId="1" applyNumberFormat="1" applyFont="1" applyFill="1" applyBorder="1" applyAlignment="1">
      <alignment horizontal="center" vertical="center" wrapText="1"/>
    </xf>
    <xf numFmtId="165" fontId="18" fillId="12" borderId="1" xfId="1" applyNumberFormat="1" applyFont="1" applyFill="1" applyBorder="1" applyAlignment="1">
      <alignment vertical="center" wrapText="1"/>
    </xf>
    <xf numFmtId="165" fontId="18" fillId="12" borderId="1" xfId="1" applyNumberFormat="1" applyFont="1" applyFill="1" applyBorder="1" applyAlignment="1">
      <alignment horizontal="center" vertical="center" wrapText="1"/>
    </xf>
    <xf numFmtId="165" fontId="10" fillId="12" borderId="1" xfId="1" applyNumberFormat="1" applyFont="1" applyFill="1" applyBorder="1" applyAlignment="1">
      <alignment horizontal="center" vertical="center" wrapText="1"/>
    </xf>
    <xf numFmtId="165" fontId="0" fillId="12" borderId="1" xfId="1" applyNumberFormat="1" applyFont="1" applyFill="1" applyBorder="1" applyAlignment="1">
      <alignment vertical="center" wrapText="1"/>
    </xf>
    <xf numFmtId="165" fontId="2" fillId="12" borderId="1" xfId="1" applyNumberFormat="1" applyFont="1" applyFill="1" applyBorder="1" applyAlignment="1">
      <alignment vertical="center" wrapText="1"/>
    </xf>
    <xf numFmtId="165" fontId="20" fillId="12" borderId="1" xfId="1" applyNumberFormat="1" applyFont="1" applyFill="1" applyBorder="1" applyAlignment="1">
      <alignment horizontal="right" vertical="center" wrapText="1"/>
    </xf>
    <xf numFmtId="165" fontId="18" fillId="12" borderId="1" xfId="1" applyNumberFormat="1" applyFont="1" applyFill="1" applyBorder="1" applyAlignment="1">
      <alignment horizontal="right" vertical="center" wrapText="1"/>
    </xf>
    <xf numFmtId="165" fontId="4" fillId="12" borderId="1" xfId="1" applyNumberFormat="1" applyFont="1" applyFill="1" applyBorder="1" applyAlignment="1">
      <alignment horizontal="right" vertical="center" wrapText="1"/>
    </xf>
    <xf numFmtId="165" fontId="9" fillId="12" borderId="6" xfId="1" applyNumberFormat="1" applyFont="1" applyFill="1" applyBorder="1" applyAlignment="1">
      <alignment horizontal="right" vertical="center" wrapText="1"/>
    </xf>
    <xf numFmtId="165" fontId="6" fillId="12" borderId="1" xfId="1" applyNumberFormat="1" applyFont="1" applyFill="1" applyBorder="1" applyAlignment="1">
      <alignment horizontal="right" vertical="center" wrapText="1"/>
    </xf>
    <xf numFmtId="165" fontId="10" fillId="12" borderId="1" xfId="1" applyNumberFormat="1" applyFont="1" applyFill="1" applyBorder="1" applyAlignment="1">
      <alignment horizontal="right" vertical="center" wrapText="1"/>
    </xf>
    <xf numFmtId="165" fontId="2" fillId="12" borderId="1" xfId="1" applyNumberFormat="1" applyFont="1" applyFill="1" applyBorder="1" applyAlignment="1">
      <alignment horizontal="right" vertical="center" wrapText="1"/>
    </xf>
    <xf numFmtId="165" fontId="20" fillId="12" borderId="3" xfId="1" applyNumberFormat="1" applyFont="1" applyFill="1" applyBorder="1" applyAlignment="1">
      <alignment horizontal="right" vertical="center" wrapText="1"/>
    </xf>
    <xf numFmtId="165" fontId="4" fillId="12" borderId="3" xfId="1" applyNumberFormat="1" applyFont="1" applyFill="1" applyBorder="1" applyAlignment="1">
      <alignment horizontal="center" vertical="center" wrapText="1"/>
    </xf>
    <xf numFmtId="165" fontId="18" fillId="12" borderId="1" xfId="1" applyNumberFormat="1" applyFont="1" applyFill="1" applyBorder="1" applyAlignment="1">
      <alignment wrapText="1"/>
    </xf>
    <xf numFmtId="165" fontId="17" fillId="12" borderId="1" xfId="1" applyNumberFormat="1" applyFont="1" applyFill="1" applyBorder="1" applyAlignment="1">
      <alignment wrapText="1"/>
    </xf>
    <xf numFmtId="165" fontId="10" fillId="12" borderId="1" xfId="1" applyNumberFormat="1" applyFont="1" applyFill="1" applyBorder="1" applyAlignment="1">
      <alignment vertical="center" wrapText="1"/>
    </xf>
    <xf numFmtId="165" fontId="20" fillId="12" borderId="1" xfId="1" applyNumberFormat="1" applyFont="1" applyFill="1" applyBorder="1" applyAlignment="1">
      <alignment vertical="center" wrapText="1"/>
    </xf>
    <xf numFmtId="0" fontId="18" fillId="12" borderId="1" xfId="0" applyFont="1" applyFill="1" applyBorder="1" applyAlignment="1">
      <alignment wrapText="1"/>
    </xf>
    <xf numFmtId="165" fontId="9" fillId="12" borderId="1" xfId="1" applyNumberFormat="1" applyFont="1" applyFill="1" applyBorder="1" applyAlignment="1">
      <alignment vertical="center" wrapText="1"/>
    </xf>
    <xf numFmtId="165" fontId="30" fillId="12" borderId="1" xfId="1" applyNumberFormat="1" applyFont="1" applyFill="1" applyBorder="1" applyAlignment="1">
      <alignment wrapText="1"/>
    </xf>
    <xf numFmtId="165" fontId="8" fillId="12" borderId="1" xfId="1" applyNumberFormat="1" applyFont="1" applyFill="1" applyBorder="1" applyAlignment="1">
      <alignment wrapText="1"/>
    </xf>
    <xf numFmtId="165" fontId="12" fillId="12" borderId="1" xfId="1" applyNumberFormat="1" applyFont="1" applyFill="1" applyBorder="1" applyAlignment="1">
      <alignment wrapText="1"/>
    </xf>
    <xf numFmtId="165" fontId="26" fillId="12" borderId="1" xfId="0" applyNumberFormat="1" applyFont="1" applyFill="1" applyBorder="1" applyAlignment="1">
      <alignment wrapText="1"/>
    </xf>
    <xf numFmtId="0" fontId="0" fillId="12" borderId="0" xfId="0" applyFill="1" applyAlignment="1">
      <alignment wrapText="1"/>
    </xf>
    <xf numFmtId="165" fontId="0" fillId="12" borderId="0" xfId="0" applyNumberFormat="1" applyFill="1" applyAlignment="1">
      <alignment wrapText="1"/>
    </xf>
    <xf numFmtId="0" fontId="2" fillId="12" borderId="0" xfId="0" applyFont="1" applyFill="1" applyAlignment="1">
      <alignment wrapText="1"/>
    </xf>
    <xf numFmtId="0" fontId="8" fillId="12" borderId="0" xfId="0" applyFont="1" applyFill="1"/>
    <xf numFmtId="0" fontId="8" fillId="12" borderId="0" xfId="0" applyFont="1" applyFill="1" applyAlignment="1">
      <alignment wrapText="1"/>
    </xf>
    <xf numFmtId="0" fontId="12" fillId="12" borderId="0" xfId="0" applyFont="1" applyFill="1" applyAlignment="1">
      <alignment wrapText="1"/>
    </xf>
    <xf numFmtId="0" fontId="15" fillId="12" borderId="0" xfId="0" applyFont="1" applyFill="1"/>
    <xf numFmtId="43" fontId="15" fillId="12" borderId="0" xfId="0" applyNumberFormat="1" applyFont="1" applyFill="1"/>
    <xf numFmtId="0" fontId="15" fillId="12" borderId="0" xfId="0" applyFont="1" applyFill="1" applyAlignment="1">
      <alignment wrapText="1"/>
    </xf>
    <xf numFmtId="0" fontId="19" fillId="12" borderId="0" xfId="0" applyFont="1" applyFill="1" applyAlignment="1">
      <alignment horizontal="center"/>
    </xf>
    <xf numFmtId="0" fontId="19" fillId="12" borderId="0" xfId="0" applyFont="1" applyFill="1" applyAlignment="1">
      <alignment horizontal="center" wrapText="1"/>
    </xf>
    <xf numFmtId="0" fontId="19" fillId="12" borderId="0" xfId="0" applyFont="1" applyFill="1"/>
    <xf numFmtId="0" fontId="19" fillId="12" borderId="0" xfId="0" applyFont="1" applyFill="1" applyAlignment="1">
      <alignment wrapText="1"/>
    </xf>
    <xf numFmtId="0" fontId="0" fillId="12" borderId="0" xfId="0" applyFill="1"/>
    <xf numFmtId="165" fontId="23" fillId="7" borderId="14" xfId="1" applyNumberFormat="1" applyFont="1" applyFill="1" applyBorder="1" applyAlignment="1">
      <alignment vertical="center" wrapText="1"/>
    </xf>
    <xf numFmtId="165" fontId="23" fillId="7" borderId="10" xfId="1" applyNumberFormat="1" applyFont="1" applyFill="1" applyBorder="1" applyAlignment="1">
      <alignment vertical="center" wrapText="1"/>
    </xf>
    <xf numFmtId="165" fontId="23" fillId="7" borderId="15" xfId="1" applyNumberFormat="1" applyFont="1" applyFill="1" applyBorder="1" applyAlignment="1">
      <alignment vertical="center" wrapText="1"/>
    </xf>
    <xf numFmtId="165" fontId="12" fillId="10" borderId="7" xfId="1" applyNumberFormat="1" applyFont="1" applyFill="1" applyBorder="1" applyAlignment="1">
      <alignment vertical="center" wrapText="1"/>
    </xf>
    <xf numFmtId="165" fontId="12" fillId="10" borderId="8" xfId="1" applyNumberFormat="1" applyFont="1" applyFill="1" applyBorder="1" applyAlignment="1">
      <alignment vertical="center" wrapText="1"/>
    </xf>
    <xf numFmtId="165" fontId="12" fillId="10" borderId="9" xfId="1" applyNumberFormat="1" applyFont="1" applyFill="1" applyBorder="1" applyAlignment="1">
      <alignment vertical="center" wrapText="1"/>
    </xf>
    <xf numFmtId="165" fontId="3" fillId="10" borderId="4" xfId="1" applyNumberFormat="1" applyFont="1" applyFill="1" applyBorder="1" applyAlignment="1">
      <alignment vertical="center" wrapText="1"/>
    </xf>
    <xf numFmtId="165" fontId="3" fillId="10" borderId="5" xfId="1" applyNumberFormat="1" applyFont="1" applyFill="1" applyBorder="1" applyAlignment="1">
      <alignment vertical="center" wrapText="1"/>
    </xf>
    <xf numFmtId="165" fontId="3" fillId="10" borderId="2" xfId="1" applyNumberFormat="1" applyFont="1" applyFill="1" applyBorder="1" applyAlignment="1">
      <alignment vertical="center" wrapText="1"/>
    </xf>
    <xf numFmtId="0" fontId="14" fillId="0" borderId="0" xfId="0" applyFont="1" applyAlignment="1">
      <alignment vertical="center" wrapText="1"/>
    </xf>
    <xf numFmtId="165" fontId="10" fillId="3" borderId="4" xfId="1" applyNumberFormat="1" applyFont="1" applyFill="1" applyBorder="1" applyAlignment="1">
      <alignment vertical="center" wrapText="1"/>
    </xf>
    <xf numFmtId="165" fontId="10" fillId="3" borderId="5" xfId="1" applyNumberFormat="1" applyFont="1" applyFill="1" applyBorder="1" applyAlignment="1">
      <alignment vertical="center" wrapText="1"/>
    </xf>
    <xf numFmtId="165" fontId="10" fillId="3" borderId="2" xfId="1" applyNumberFormat="1" applyFont="1" applyFill="1" applyBorder="1" applyAlignment="1">
      <alignment vertical="center" wrapText="1"/>
    </xf>
    <xf numFmtId="165" fontId="11" fillId="10" borderId="4" xfId="1" applyNumberFormat="1" applyFont="1" applyFill="1" applyBorder="1" applyAlignment="1">
      <alignment vertical="center" wrapText="1"/>
    </xf>
    <xf numFmtId="165" fontId="10" fillId="10" borderId="5" xfId="1" applyNumberFormat="1" applyFont="1" applyFill="1" applyBorder="1" applyAlignment="1">
      <alignment vertical="center" wrapText="1"/>
    </xf>
    <xf numFmtId="165" fontId="10" fillId="10" borderId="2" xfId="1" applyNumberFormat="1" applyFont="1" applyFill="1" applyBorder="1" applyAlignment="1">
      <alignment vertical="center" wrapText="1"/>
    </xf>
    <xf numFmtId="165" fontId="10" fillId="9" borderId="4" xfId="1" applyNumberFormat="1" applyFont="1" applyFill="1" applyBorder="1" applyAlignment="1">
      <alignment vertical="center" wrapText="1"/>
    </xf>
    <xf numFmtId="165" fontId="10" fillId="9" borderId="5" xfId="1" applyNumberFormat="1" applyFont="1" applyFill="1" applyBorder="1" applyAlignment="1">
      <alignment vertical="center" wrapText="1"/>
    </xf>
    <xf numFmtId="165" fontId="10" fillId="9" borderId="2" xfId="1" applyNumberFormat="1" applyFont="1" applyFill="1" applyBorder="1" applyAlignment="1">
      <alignment vertical="center" wrapText="1"/>
    </xf>
    <xf numFmtId="165" fontId="25" fillId="7" borderId="14" xfId="1" applyNumberFormat="1" applyFont="1" applyFill="1" applyBorder="1" applyAlignment="1">
      <alignment horizontal="left" vertical="center" wrapText="1"/>
    </xf>
    <xf numFmtId="165" fontId="25" fillId="7" borderId="10" xfId="1" applyNumberFormat="1" applyFont="1" applyFill="1" applyBorder="1" applyAlignment="1">
      <alignment horizontal="left" vertical="center" wrapText="1"/>
    </xf>
    <xf numFmtId="165" fontId="25" fillId="7" borderId="15" xfId="1" applyNumberFormat="1" applyFont="1" applyFill="1" applyBorder="1" applyAlignment="1">
      <alignment horizontal="left" vertical="center" wrapText="1"/>
    </xf>
    <xf numFmtId="165" fontId="11" fillId="10" borderId="7" xfId="1" applyNumberFormat="1" applyFont="1" applyFill="1" applyBorder="1" applyAlignment="1">
      <alignment vertical="center" wrapText="1"/>
    </xf>
    <xf numFmtId="165" fontId="11" fillId="10" borderId="8" xfId="1" applyNumberFormat="1" applyFont="1" applyFill="1" applyBorder="1" applyAlignment="1">
      <alignment vertical="center" wrapText="1"/>
    </xf>
    <xf numFmtId="165" fontId="11" fillId="10" borderId="9" xfId="1" applyNumberFormat="1" applyFont="1" applyFill="1" applyBorder="1" applyAlignment="1">
      <alignment vertical="center" wrapText="1"/>
    </xf>
    <xf numFmtId="165" fontId="11" fillId="10" borderId="5" xfId="1" applyNumberFormat="1" applyFont="1" applyFill="1" applyBorder="1" applyAlignment="1">
      <alignment vertical="center" wrapText="1"/>
    </xf>
    <xf numFmtId="165" fontId="11" fillId="10" borderId="2" xfId="1" applyNumberFormat="1" applyFont="1" applyFill="1" applyBorder="1" applyAlignment="1">
      <alignment vertical="center" wrapText="1"/>
    </xf>
    <xf numFmtId="165" fontId="22" fillId="10" borderId="4" xfId="1" applyNumberFormat="1" applyFont="1" applyFill="1" applyBorder="1" applyAlignment="1">
      <alignment horizontal="left" vertical="center" wrapText="1"/>
    </xf>
    <xf numFmtId="165" fontId="22" fillId="10" borderId="5" xfId="1" applyNumberFormat="1" applyFont="1" applyFill="1" applyBorder="1" applyAlignment="1">
      <alignment horizontal="left" vertical="center" wrapText="1"/>
    </xf>
    <xf numFmtId="165" fontId="22" fillId="10" borderId="2" xfId="1" applyNumberFormat="1" applyFont="1" applyFill="1" applyBorder="1" applyAlignment="1">
      <alignment horizontal="left" vertical="center" wrapText="1"/>
    </xf>
    <xf numFmtId="165" fontId="25" fillId="7" borderId="14" xfId="1" applyNumberFormat="1" applyFont="1" applyFill="1" applyBorder="1" applyAlignment="1">
      <alignment vertical="center" wrapText="1"/>
    </xf>
    <xf numFmtId="165" fontId="25" fillId="7" borderId="10" xfId="1" applyNumberFormat="1" applyFont="1" applyFill="1" applyBorder="1" applyAlignment="1">
      <alignment vertical="center" wrapText="1"/>
    </xf>
    <xf numFmtId="165" fontId="25" fillId="7" borderId="15" xfId="1" applyNumberFormat="1" applyFont="1" applyFill="1" applyBorder="1" applyAlignment="1">
      <alignment vertical="center" wrapText="1"/>
    </xf>
    <xf numFmtId="165" fontId="11" fillId="10" borderId="11" xfId="1" applyNumberFormat="1" applyFont="1" applyFill="1" applyBorder="1" applyAlignment="1">
      <alignment vertical="center" wrapText="1"/>
    </xf>
    <xf numFmtId="165" fontId="11" fillId="10" borderId="12" xfId="1" applyNumberFormat="1" applyFont="1" applyFill="1" applyBorder="1" applyAlignment="1">
      <alignment vertical="center" wrapText="1"/>
    </xf>
    <xf numFmtId="165" fontId="11" fillId="10" borderId="13" xfId="1" applyNumberFormat="1" applyFont="1" applyFill="1" applyBorder="1" applyAlignment="1">
      <alignment vertical="center" wrapText="1"/>
    </xf>
    <xf numFmtId="0" fontId="23" fillId="8" borderId="1" xfId="0" applyFont="1" applyFill="1" applyBorder="1" applyAlignment="1">
      <alignment horizontal="center" wrapText="1"/>
    </xf>
    <xf numFmtId="0" fontId="23" fillId="12" borderId="1" xfId="0" applyFont="1" applyFill="1" applyBorder="1" applyAlignment="1">
      <alignment horizontal="center" wrapText="1"/>
    </xf>
    <xf numFmtId="43" fontId="23" fillId="8" borderId="1" xfId="1" applyFont="1" applyFill="1" applyBorder="1" applyAlignment="1">
      <alignment horizontal="center" wrapText="1"/>
    </xf>
    <xf numFmtId="0" fontId="25" fillId="8" borderId="1" xfId="0" applyFont="1" applyFill="1" applyBorder="1" applyAlignment="1">
      <alignment horizontal="center" vertical="top" wrapText="1"/>
    </xf>
    <xf numFmtId="0" fontId="25" fillId="8" borderId="6" xfId="0" applyFont="1" applyFill="1" applyBorder="1" applyAlignment="1">
      <alignment horizontal="center" vertical="top" wrapText="1"/>
    </xf>
    <xf numFmtId="0" fontId="25" fillId="7" borderId="14" xfId="0" applyFont="1" applyFill="1" applyBorder="1" applyAlignment="1">
      <alignment vertical="center" wrapText="1"/>
    </xf>
    <xf numFmtId="0" fontId="25" fillId="7" borderId="10" xfId="0" applyFont="1" applyFill="1" applyBorder="1" applyAlignment="1">
      <alignment vertical="center" wrapText="1"/>
    </xf>
    <xf numFmtId="0" fontId="25" fillId="7" borderId="15" xfId="0" applyFont="1" applyFill="1" applyBorder="1" applyAlignment="1">
      <alignment vertical="center" wrapText="1"/>
    </xf>
    <xf numFmtId="165" fontId="20" fillId="0" borderId="1" xfId="1" applyNumberFormat="1" applyFont="1" applyFill="1" applyBorder="1" applyAlignment="1">
      <alignment horizontal="center" vertical="center" wrapText="1"/>
    </xf>
    <xf numFmtId="165" fontId="4" fillId="0" borderId="1" xfId="1" applyNumberFormat="1" applyFont="1" applyFill="1" applyBorder="1" applyAlignment="1">
      <alignment horizontal="center" vertical="center" wrapText="1"/>
    </xf>
    <xf numFmtId="165" fontId="18" fillId="0" borderId="1" xfId="1" applyNumberFormat="1" applyFont="1" applyFill="1" applyBorder="1" applyAlignment="1">
      <alignment vertical="center" wrapText="1"/>
    </xf>
    <xf numFmtId="165" fontId="18" fillId="0" borderId="1" xfId="1" applyNumberFormat="1" applyFont="1" applyFill="1" applyBorder="1" applyAlignment="1">
      <alignment horizontal="center" vertical="center" wrapText="1"/>
    </xf>
    <xf numFmtId="165" fontId="10" fillId="0" borderId="1" xfId="1" applyNumberFormat="1" applyFont="1" applyFill="1" applyBorder="1" applyAlignment="1">
      <alignment horizontal="center" vertical="center" wrapText="1"/>
    </xf>
    <xf numFmtId="165" fontId="0" fillId="0" borderId="1" xfId="1" applyNumberFormat="1" applyFont="1" applyFill="1" applyBorder="1" applyAlignment="1">
      <alignment vertical="center" wrapText="1"/>
    </xf>
    <xf numFmtId="165" fontId="2" fillId="0" borderId="1" xfId="1" applyNumberFormat="1" applyFont="1" applyFill="1" applyBorder="1" applyAlignment="1">
      <alignment vertical="center" wrapText="1"/>
    </xf>
    <xf numFmtId="165" fontId="20" fillId="0" borderId="1" xfId="1" applyNumberFormat="1" applyFont="1" applyFill="1" applyBorder="1" applyAlignment="1">
      <alignment horizontal="right" vertical="center" wrapText="1"/>
    </xf>
    <xf numFmtId="165" fontId="18" fillId="0" borderId="1" xfId="1" applyNumberFormat="1" applyFont="1" applyFill="1" applyBorder="1" applyAlignment="1">
      <alignment horizontal="right" vertical="center" wrapText="1"/>
    </xf>
    <xf numFmtId="165" fontId="4" fillId="0" borderId="1" xfId="1" applyNumberFormat="1" applyFont="1" applyFill="1" applyBorder="1" applyAlignment="1">
      <alignment horizontal="right" vertical="center" wrapText="1"/>
    </xf>
    <xf numFmtId="165" fontId="9" fillId="0" borderId="6" xfId="1" applyNumberFormat="1" applyFont="1" applyFill="1" applyBorder="1" applyAlignment="1">
      <alignment horizontal="right" vertical="center" wrapText="1"/>
    </xf>
    <xf numFmtId="165" fontId="6" fillId="0" borderId="1" xfId="1" applyNumberFormat="1" applyFont="1" applyFill="1" applyBorder="1" applyAlignment="1">
      <alignment horizontal="right" vertical="center" wrapText="1"/>
    </xf>
    <xf numFmtId="165" fontId="10" fillId="0" borderId="1" xfId="1" applyNumberFormat="1" applyFont="1" applyFill="1" applyBorder="1" applyAlignment="1">
      <alignment horizontal="right" vertical="center" wrapText="1"/>
    </xf>
    <xf numFmtId="165" fontId="2" fillId="0" borderId="1" xfId="1" applyNumberFormat="1" applyFont="1" applyFill="1" applyBorder="1" applyAlignment="1">
      <alignment horizontal="right" vertical="center" wrapText="1"/>
    </xf>
    <xf numFmtId="165" fontId="20" fillId="0" borderId="3" xfId="1" applyNumberFormat="1" applyFont="1" applyFill="1" applyBorder="1" applyAlignment="1">
      <alignment horizontal="right" vertical="center" wrapText="1"/>
    </xf>
    <xf numFmtId="165" fontId="4" fillId="0" borderId="3" xfId="1" applyNumberFormat="1" applyFont="1" applyFill="1" applyBorder="1" applyAlignment="1">
      <alignment horizontal="center" vertical="center" wrapText="1"/>
    </xf>
    <xf numFmtId="165" fontId="18" fillId="0" borderId="1" xfId="1" applyNumberFormat="1" applyFont="1" applyFill="1" applyBorder="1" applyAlignment="1">
      <alignment wrapText="1"/>
    </xf>
    <xf numFmtId="165" fontId="17" fillId="0" borderId="1" xfId="1" applyNumberFormat="1" applyFont="1" applyFill="1" applyBorder="1" applyAlignment="1">
      <alignment wrapText="1"/>
    </xf>
    <xf numFmtId="165" fontId="10" fillId="0" borderId="1" xfId="1" applyNumberFormat="1" applyFont="1" applyFill="1" applyBorder="1" applyAlignment="1">
      <alignment vertical="center" wrapText="1"/>
    </xf>
    <xf numFmtId="165" fontId="20" fillId="0" borderId="1" xfId="1" applyNumberFormat="1" applyFont="1" applyFill="1" applyBorder="1" applyAlignment="1">
      <alignment vertical="center" wrapText="1"/>
    </xf>
    <xf numFmtId="0" fontId="18" fillId="0" borderId="1" xfId="0" applyFont="1" applyFill="1" applyBorder="1" applyAlignment="1">
      <alignment wrapText="1"/>
    </xf>
    <xf numFmtId="0" fontId="0" fillId="0" borderId="0" xfId="0" applyFill="1" applyAlignment="1">
      <alignment wrapText="1"/>
    </xf>
    <xf numFmtId="165" fontId="0" fillId="0" borderId="0" xfId="0" applyNumberFormat="1" applyFill="1" applyAlignment="1">
      <alignment wrapText="1"/>
    </xf>
    <xf numFmtId="0" fontId="2" fillId="0" borderId="0" xfId="0" applyFont="1" applyFill="1" applyAlignment="1">
      <alignment wrapText="1"/>
    </xf>
    <xf numFmtId="0" fontId="8" fillId="0" borderId="0" xfId="0" applyFont="1" applyFill="1"/>
    <xf numFmtId="0" fontId="8" fillId="0" borderId="0" xfId="0" applyFont="1" applyFill="1" applyAlignment="1">
      <alignment wrapText="1"/>
    </xf>
    <xf numFmtId="0" fontId="12" fillId="0" borderId="0" xfId="0" applyFont="1" applyFill="1" applyAlignment="1">
      <alignment wrapText="1"/>
    </xf>
    <xf numFmtId="0" fontId="15" fillId="0" borderId="0" xfId="0" applyFont="1" applyFill="1"/>
    <xf numFmtId="43" fontId="15" fillId="0" borderId="0" xfId="0" applyNumberFormat="1" applyFont="1" applyFill="1"/>
    <xf numFmtId="0" fontId="15" fillId="0" borderId="0" xfId="0" applyFont="1" applyFill="1" applyAlignment="1">
      <alignment wrapText="1"/>
    </xf>
    <xf numFmtId="0" fontId="19" fillId="0" borderId="0" xfId="0" applyFont="1" applyFill="1" applyAlignment="1">
      <alignment horizontal="center"/>
    </xf>
    <xf numFmtId="0" fontId="19" fillId="0" borderId="0" xfId="0" applyFont="1" applyFill="1" applyAlignment="1">
      <alignment horizontal="center" wrapText="1"/>
    </xf>
    <xf numFmtId="0" fontId="19" fillId="0" borderId="0" xfId="0" applyFont="1" applyFill="1"/>
    <xf numFmtId="0" fontId="19" fillId="0" borderId="0" xfId="0" applyFont="1" applyFill="1" applyAlignment="1">
      <alignment wrapText="1"/>
    </xf>
    <xf numFmtId="0" fontId="0" fillId="0" borderId="0" xfId="0" applyFill="1"/>
    <xf numFmtId="165" fontId="31" fillId="11" borderId="1" xfId="0" applyNumberFormat="1" applyFont="1" applyFill="1" applyBorder="1" applyAlignment="1">
      <alignment wrapText="1"/>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4BACD-8BF7-4545-A21F-ED5395EB8366}">
  <sheetPr>
    <pageSetUpPr fitToPage="1"/>
  </sheetPr>
  <dimension ref="B1:Y185"/>
  <sheetViews>
    <sheetView zoomScale="72" zoomScaleNormal="72" workbookViewId="0">
      <pane ySplit="2" topLeftCell="A142" activePane="bottomLeft" state="frozen"/>
      <selection activeCell="B1" sqref="B1"/>
      <selection pane="bottomLeft" activeCell="B1" sqref="B1:B1048576"/>
    </sheetView>
  </sheetViews>
  <sheetFormatPr defaultColWidth="8.88671875" defaultRowHeight="14.4" x14ac:dyDescent="0.3"/>
  <cols>
    <col min="1" max="1" width="3.44140625" style="2" customWidth="1"/>
    <col min="2" max="2" width="53.5546875" style="2" customWidth="1"/>
    <col min="3" max="5" width="13.88671875" style="2" customWidth="1"/>
    <col min="6" max="6" width="22.6640625" style="1" customWidth="1"/>
    <col min="7" max="7" width="23.44140625" style="114" customWidth="1"/>
    <col min="8" max="9" width="18.88671875" style="114" customWidth="1"/>
    <col min="10" max="10" width="19.5546875" style="116" customWidth="1"/>
    <col min="11" max="11" width="19.5546875" style="2" customWidth="1"/>
    <col min="12" max="12" width="19.109375" style="2" customWidth="1"/>
    <col min="13" max="13" width="19.5546875" style="2" customWidth="1"/>
    <col min="14" max="14" width="20.5546875" style="1" customWidth="1"/>
    <col min="15" max="15" width="20.88671875" style="1" customWidth="1"/>
    <col min="16" max="16" width="7.5546875" style="2" customWidth="1"/>
    <col min="17" max="16384" width="8.88671875" style="2"/>
  </cols>
  <sheetData>
    <row r="1" spans="2:25" s="1" customFormat="1" ht="24.6" customHeight="1" x14ac:dyDescent="0.4">
      <c r="B1" s="58"/>
      <c r="C1" s="164" t="s">
        <v>73</v>
      </c>
      <c r="D1" s="164"/>
      <c r="E1" s="164"/>
      <c r="F1" s="164"/>
      <c r="G1" s="165" t="s">
        <v>71</v>
      </c>
      <c r="H1" s="165"/>
      <c r="I1" s="165"/>
      <c r="J1" s="165"/>
      <c r="K1" s="166" t="s">
        <v>72</v>
      </c>
      <c r="L1" s="166"/>
      <c r="M1" s="166"/>
      <c r="N1" s="166"/>
      <c r="O1" s="167" t="s">
        <v>69</v>
      </c>
    </row>
    <row r="2" spans="2:25" s="1" customFormat="1" ht="22.5" customHeight="1" thickBot="1" x14ac:dyDescent="0.35">
      <c r="B2" s="59" t="s">
        <v>114</v>
      </c>
      <c r="C2" s="60" t="s">
        <v>0</v>
      </c>
      <c r="D2" s="60" t="s">
        <v>1</v>
      </c>
      <c r="E2" s="60" t="s">
        <v>2</v>
      </c>
      <c r="F2" s="60" t="s">
        <v>70</v>
      </c>
      <c r="G2" s="87" t="s">
        <v>0</v>
      </c>
      <c r="H2" s="87" t="s">
        <v>1</v>
      </c>
      <c r="I2" s="87" t="s">
        <v>2</v>
      </c>
      <c r="J2" s="87" t="s">
        <v>67</v>
      </c>
      <c r="K2" s="60" t="s">
        <v>0</v>
      </c>
      <c r="L2" s="60" t="s">
        <v>1</v>
      </c>
      <c r="M2" s="60" t="s">
        <v>2</v>
      </c>
      <c r="N2" s="60" t="s">
        <v>68</v>
      </c>
      <c r="O2" s="168"/>
    </row>
    <row r="3" spans="2:25" s="13" customFormat="1" ht="33.6" customHeight="1" thickTop="1" thickBot="1" x14ac:dyDescent="0.35">
      <c r="B3" s="169" t="s">
        <v>101</v>
      </c>
      <c r="C3" s="170"/>
      <c r="D3" s="170"/>
      <c r="E3" s="170"/>
      <c r="F3" s="170"/>
      <c r="G3" s="170"/>
      <c r="H3" s="170"/>
      <c r="I3" s="170"/>
      <c r="J3" s="170"/>
      <c r="K3" s="170"/>
      <c r="L3" s="170"/>
      <c r="M3" s="170"/>
      <c r="N3" s="170"/>
      <c r="O3" s="171"/>
    </row>
    <row r="4" spans="2:25" s="12" customFormat="1" ht="29.4" customHeight="1" thickTop="1" x14ac:dyDescent="0.3">
      <c r="B4" s="150" t="s">
        <v>96</v>
      </c>
      <c r="C4" s="151"/>
      <c r="D4" s="151"/>
      <c r="E4" s="151"/>
      <c r="F4" s="151"/>
      <c r="G4" s="151"/>
      <c r="H4" s="151"/>
      <c r="I4" s="151"/>
      <c r="J4" s="151"/>
      <c r="K4" s="151"/>
      <c r="L4" s="151"/>
      <c r="M4" s="151"/>
      <c r="N4" s="151"/>
      <c r="O4" s="152"/>
    </row>
    <row r="5" spans="2:25" ht="24" customHeight="1" x14ac:dyDescent="0.3">
      <c r="B5" s="144" t="s">
        <v>3</v>
      </c>
      <c r="C5" s="145"/>
      <c r="D5" s="145"/>
      <c r="E5" s="145"/>
      <c r="F5" s="145"/>
      <c r="G5" s="145"/>
      <c r="H5" s="145"/>
      <c r="I5" s="145"/>
      <c r="J5" s="145"/>
      <c r="K5" s="145"/>
      <c r="L5" s="145"/>
      <c r="M5" s="145"/>
      <c r="N5" s="145"/>
      <c r="O5" s="146"/>
    </row>
    <row r="6" spans="2:25" ht="24" customHeight="1" x14ac:dyDescent="0.35">
      <c r="B6" s="36" t="s">
        <v>4</v>
      </c>
      <c r="C6" s="36">
        <v>0</v>
      </c>
      <c r="D6" s="18">
        <v>55000</v>
      </c>
      <c r="E6" s="36">
        <v>0</v>
      </c>
      <c r="F6" s="37">
        <f>SUM(C6:E6)</f>
        <v>55000</v>
      </c>
      <c r="G6" s="88">
        <v>17500</v>
      </c>
      <c r="H6" s="88">
        <v>7179.4871794871797</v>
      </c>
      <c r="I6" s="88">
        <v>8750</v>
      </c>
      <c r="J6" s="89">
        <f>SUM(G6:I6)</f>
        <v>33429.48717948718</v>
      </c>
      <c r="K6" s="38">
        <v>17500</v>
      </c>
      <c r="L6" s="38">
        <v>7179.4871794871797</v>
      </c>
      <c r="M6" s="38">
        <v>8750</v>
      </c>
      <c r="N6" s="40">
        <f>SUM(K6:M6)</f>
        <v>33429.48717948718</v>
      </c>
      <c r="O6" s="41">
        <f>F6+J6+N6</f>
        <v>121858.97435897437</v>
      </c>
      <c r="P6" s="80"/>
    </row>
    <row r="7" spans="2:25" ht="21" customHeight="1" x14ac:dyDescent="0.35">
      <c r="B7" s="144" t="s">
        <v>5</v>
      </c>
      <c r="C7" s="145"/>
      <c r="D7" s="145"/>
      <c r="E7" s="145"/>
      <c r="F7" s="145"/>
      <c r="G7" s="145"/>
      <c r="H7" s="145"/>
      <c r="I7" s="145"/>
      <c r="J7" s="145"/>
      <c r="K7" s="145"/>
      <c r="L7" s="145"/>
      <c r="M7" s="145"/>
      <c r="N7" s="145"/>
      <c r="O7" s="146"/>
      <c r="P7" s="80"/>
    </row>
    <row r="8" spans="2:25" ht="30" customHeight="1" x14ac:dyDescent="0.35">
      <c r="B8" s="36" t="s">
        <v>6</v>
      </c>
      <c r="C8" s="36">
        <v>0</v>
      </c>
      <c r="D8" s="36">
        <v>74345</v>
      </c>
      <c r="E8" s="36">
        <v>0</v>
      </c>
      <c r="F8" s="37">
        <f t="shared" ref="F8:F24" si="0">SUM(C8:E8)</f>
        <v>74345</v>
      </c>
      <c r="G8" s="88">
        <v>9000</v>
      </c>
      <c r="H8" s="88">
        <v>19384.615384615383</v>
      </c>
      <c r="I8" s="88">
        <v>23437.5</v>
      </c>
      <c r="J8" s="89">
        <f t="shared" ref="J8:J60" si="1">SUM(G8:I8)</f>
        <v>51822.115384615383</v>
      </c>
      <c r="K8" s="38">
        <v>9000</v>
      </c>
      <c r="L8" s="38">
        <v>19384.615384615383</v>
      </c>
      <c r="M8" s="38">
        <v>23437.5</v>
      </c>
      <c r="N8" s="40">
        <f>SUM(K8:M8)</f>
        <v>51822.115384615383</v>
      </c>
      <c r="O8" s="41">
        <f t="shared" ref="O8:O60" si="2">F8+J8+N8</f>
        <v>177989.23076923075</v>
      </c>
      <c r="P8" s="80"/>
    </row>
    <row r="9" spans="2:25" ht="24" customHeight="1" x14ac:dyDescent="0.35">
      <c r="B9" s="42" t="s">
        <v>115</v>
      </c>
      <c r="C9" s="42">
        <f>18000+5000</f>
        <v>23000</v>
      </c>
      <c r="D9" s="36">
        <f>96262+37822</f>
        <v>134084</v>
      </c>
      <c r="E9" s="36">
        <f>96400+200000+100000+408075+100000</f>
        <v>904475</v>
      </c>
      <c r="F9" s="37">
        <f t="shared" si="0"/>
        <v>1061559</v>
      </c>
      <c r="G9" s="88">
        <v>18000</v>
      </c>
      <c r="H9" s="88">
        <v>38769.230769230766</v>
      </c>
      <c r="I9" s="88">
        <v>18750</v>
      </c>
      <c r="J9" s="89">
        <f t="shared" si="1"/>
        <v>75519.230769230766</v>
      </c>
      <c r="K9" s="38">
        <v>18000</v>
      </c>
      <c r="L9" s="38">
        <v>38769.230769230766</v>
      </c>
      <c r="M9" s="38">
        <v>18750</v>
      </c>
      <c r="N9" s="40">
        <f t="shared" ref="N9:N12" si="3">SUM(K9:M9)</f>
        <v>75519.230769230766</v>
      </c>
      <c r="O9" s="41">
        <f t="shared" si="2"/>
        <v>1212597.4615384615</v>
      </c>
      <c r="P9" s="80"/>
    </row>
    <row r="10" spans="2:25" ht="21.6" customHeight="1" x14ac:dyDescent="0.35">
      <c r="B10" s="36" t="s">
        <v>7</v>
      </c>
      <c r="C10" s="36">
        <v>0</v>
      </c>
      <c r="D10" s="36">
        <f>130000+8537</f>
        <v>138537</v>
      </c>
      <c r="E10" s="36"/>
      <c r="F10" s="37">
        <f t="shared" si="0"/>
        <v>138537</v>
      </c>
      <c r="G10" s="88">
        <v>70500</v>
      </c>
      <c r="H10" s="88">
        <v>151846.15384615384</v>
      </c>
      <c r="I10" s="88">
        <v>73437.5</v>
      </c>
      <c r="J10" s="89">
        <f t="shared" si="1"/>
        <v>295783.65384615387</v>
      </c>
      <c r="K10" s="38">
        <v>70500</v>
      </c>
      <c r="L10" s="38">
        <v>151846.15384615384</v>
      </c>
      <c r="M10" s="38">
        <v>73437.5</v>
      </c>
      <c r="N10" s="40">
        <f t="shared" si="3"/>
        <v>295783.65384615387</v>
      </c>
      <c r="O10" s="41">
        <f t="shared" si="2"/>
        <v>730104.30769230775</v>
      </c>
      <c r="P10" s="80"/>
    </row>
    <row r="11" spans="2:25" ht="27" customHeight="1" x14ac:dyDescent="0.35">
      <c r="B11" s="53" t="s">
        <v>132</v>
      </c>
      <c r="C11" s="36"/>
      <c r="D11" s="36"/>
      <c r="E11" s="36"/>
      <c r="F11" s="37"/>
      <c r="G11" s="88">
        <f>10000*60</f>
        <v>600000</v>
      </c>
      <c r="H11" s="88">
        <f>10000*120</f>
        <v>1200000</v>
      </c>
      <c r="I11" s="88">
        <f>10000*180</f>
        <v>1800000</v>
      </c>
      <c r="J11" s="89">
        <f t="shared" si="1"/>
        <v>3600000</v>
      </c>
      <c r="K11" s="38">
        <f>10000*60</f>
        <v>600000</v>
      </c>
      <c r="L11" s="38">
        <f>10000*120</f>
        <v>1200000</v>
      </c>
      <c r="M11" s="38">
        <f>10000*180</f>
        <v>1800000</v>
      </c>
      <c r="N11" s="39">
        <f t="shared" ref="N11" si="4">SUM(K11:M11)</f>
        <v>3600000</v>
      </c>
      <c r="O11" s="41">
        <f t="shared" si="2"/>
        <v>7200000</v>
      </c>
      <c r="P11" s="80"/>
    </row>
    <row r="12" spans="2:25" ht="21" customHeight="1" x14ac:dyDescent="0.35">
      <c r="B12" s="36" t="s">
        <v>116</v>
      </c>
      <c r="C12" s="36">
        <v>0</v>
      </c>
      <c r="D12" s="36">
        <v>0</v>
      </c>
      <c r="E12" s="36">
        <v>0</v>
      </c>
      <c r="F12" s="37">
        <f t="shared" si="0"/>
        <v>0</v>
      </c>
      <c r="G12" s="90">
        <v>0</v>
      </c>
      <c r="H12" s="90">
        <v>0</v>
      </c>
      <c r="I12" s="88">
        <v>750000</v>
      </c>
      <c r="J12" s="89">
        <f t="shared" si="1"/>
        <v>750000</v>
      </c>
      <c r="K12" s="43">
        <v>0</v>
      </c>
      <c r="L12" s="43">
        <v>0</v>
      </c>
      <c r="M12" s="38">
        <v>750000</v>
      </c>
      <c r="N12" s="40">
        <f t="shared" si="3"/>
        <v>750000</v>
      </c>
      <c r="O12" s="41">
        <f t="shared" si="2"/>
        <v>1500000</v>
      </c>
      <c r="P12" s="80"/>
    </row>
    <row r="13" spans="2:25" ht="23.4" customHeight="1" x14ac:dyDescent="0.35">
      <c r="B13" s="144" t="s">
        <v>112</v>
      </c>
      <c r="C13" s="145"/>
      <c r="D13" s="145"/>
      <c r="E13" s="145"/>
      <c r="F13" s="145"/>
      <c r="G13" s="145"/>
      <c r="H13" s="145"/>
      <c r="I13" s="145"/>
      <c r="J13" s="145"/>
      <c r="K13" s="145"/>
      <c r="L13" s="145"/>
      <c r="M13" s="145"/>
      <c r="N13" s="145"/>
      <c r="O13" s="146"/>
      <c r="P13" s="80"/>
    </row>
    <row r="14" spans="2:25" ht="32.4" customHeight="1" x14ac:dyDescent="0.35">
      <c r="B14" s="36" t="s">
        <v>117</v>
      </c>
      <c r="C14" s="36">
        <f>223950+174000+165900+26100+82000+30200+46000+12000+38000+148850+27000</f>
        <v>974000</v>
      </c>
      <c r="D14" s="36">
        <f>185944+855800+373155+28518+19850+70832+285+22739+5292+36370+3665+72500+1600+525501+1850+1054449</f>
        <v>3258350</v>
      </c>
      <c r="E14" s="36">
        <f>540000+294400+282600+360000+270000+156600+100000+860600</f>
        <v>2864200</v>
      </c>
      <c r="F14" s="37">
        <f t="shared" si="0"/>
        <v>7096550</v>
      </c>
      <c r="G14" s="91">
        <v>1500000</v>
      </c>
      <c r="H14" s="91">
        <v>3230769.2307692305</v>
      </c>
      <c r="I14" s="91">
        <v>1562500</v>
      </c>
      <c r="J14" s="89">
        <f t="shared" si="1"/>
        <v>6293269.2307692301</v>
      </c>
      <c r="K14" s="44">
        <v>1500000</v>
      </c>
      <c r="L14" s="44">
        <v>3230769.2307692305</v>
      </c>
      <c r="M14" s="44">
        <v>1562500</v>
      </c>
      <c r="N14" s="40">
        <f>SUM(K14:M14)</f>
        <v>6293269.2307692301</v>
      </c>
      <c r="O14" s="41">
        <f t="shared" si="2"/>
        <v>19683088.46153846</v>
      </c>
      <c r="P14" s="80"/>
    </row>
    <row r="15" spans="2:25" ht="28.35" customHeight="1" x14ac:dyDescent="0.35">
      <c r="B15" s="30" t="s">
        <v>98</v>
      </c>
      <c r="C15" s="31">
        <f t="shared" ref="C15:O15" si="5">SUM(C6:C14)</f>
        <v>997000</v>
      </c>
      <c r="D15" s="31">
        <f t="shared" si="5"/>
        <v>3660316</v>
      </c>
      <c r="E15" s="31">
        <f t="shared" si="5"/>
        <v>3768675</v>
      </c>
      <c r="F15" s="31">
        <f t="shared" si="5"/>
        <v>8425991</v>
      </c>
      <c r="G15" s="92">
        <f t="shared" si="5"/>
        <v>2215000</v>
      </c>
      <c r="H15" s="92">
        <f t="shared" si="5"/>
        <v>4647948.717948718</v>
      </c>
      <c r="I15" s="92">
        <f t="shared" si="5"/>
        <v>4236875</v>
      </c>
      <c r="J15" s="92">
        <f t="shared" si="5"/>
        <v>11099823.717948716</v>
      </c>
      <c r="K15" s="31">
        <f t="shared" si="5"/>
        <v>2215000</v>
      </c>
      <c r="L15" s="31">
        <f t="shared" si="5"/>
        <v>4647948.717948718</v>
      </c>
      <c r="M15" s="31">
        <f t="shared" si="5"/>
        <v>4236875</v>
      </c>
      <c r="N15" s="31">
        <f t="shared" si="5"/>
        <v>11099823.717948716</v>
      </c>
      <c r="O15" s="31">
        <f t="shared" si="5"/>
        <v>30625638.435897432</v>
      </c>
      <c r="P15" s="80"/>
    </row>
    <row r="16" spans="2:25" s="12" customFormat="1" ht="27" customHeight="1" x14ac:dyDescent="0.4">
      <c r="B16" s="141" t="s">
        <v>97</v>
      </c>
      <c r="C16" s="153"/>
      <c r="D16" s="153"/>
      <c r="E16" s="153"/>
      <c r="F16" s="153"/>
      <c r="G16" s="153"/>
      <c r="H16" s="153"/>
      <c r="I16" s="153"/>
      <c r="J16" s="153"/>
      <c r="K16" s="153"/>
      <c r="L16" s="153"/>
      <c r="M16" s="153"/>
      <c r="N16" s="153"/>
      <c r="O16" s="154"/>
      <c r="P16" s="80"/>
      <c r="Y16" s="72"/>
    </row>
    <row r="17" spans="2:16" ht="22.35" customHeight="1" x14ac:dyDescent="0.35">
      <c r="B17" s="144" t="s">
        <v>8</v>
      </c>
      <c r="C17" s="145"/>
      <c r="D17" s="145"/>
      <c r="E17" s="145"/>
      <c r="F17" s="145"/>
      <c r="G17" s="145"/>
      <c r="H17" s="145"/>
      <c r="I17" s="145"/>
      <c r="J17" s="145"/>
      <c r="K17" s="145"/>
      <c r="L17" s="145"/>
      <c r="M17" s="145"/>
      <c r="N17" s="145"/>
      <c r="O17" s="146"/>
      <c r="P17" s="80"/>
    </row>
    <row r="18" spans="2:16" ht="23.4" customHeight="1" x14ac:dyDescent="0.35">
      <c r="B18" s="43" t="s">
        <v>118</v>
      </c>
      <c r="C18" s="3">
        <v>0</v>
      </c>
      <c r="D18" s="3">
        <v>0</v>
      </c>
      <c r="E18" s="3"/>
      <c r="F18" s="11">
        <f t="shared" si="0"/>
        <v>0</v>
      </c>
      <c r="G18" s="93">
        <v>0</v>
      </c>
      <c r="H18" s="93">
        <v>0</v>
      </c>
      <c r="I18" s="93">
        <v>0</v>
      </c>
      <c r="J18" s="94">
        <v>0</v>
      </c>
      <c r="K18" s="4">
        <v>0</v>
      </c>
      <c r="L18" s="4">
        <v>0</v>
      </c>
      <c r="M18" s="4">
        <v>0</v>
      </c>
      <c r="N18" s="9">
        <f>SUM(K18:M18)</f>
        <v>0</v>
      </c>
      <c r="O18" s="5">
        <f t="shared" si="2"/>
        <v>0</v>
      </c>
      <c r="P18" s="80"/>
    </row>
    <row r="19" spans="2:16" ht="19.5" customHeight="1" x14ac:dyDescent="0.35">
      <c r="B19" s="144" t="s">
        <v>100</v>
      </c>
      <c r="C19" s="145"/>
      <c r="D19" s="145"/>
      <c r="E19" s="145"/>
      <c r="F19" s="145"/>
      <c r="G19" s="145"/>
      <c r="H19" s="145"/>
      <c r="I19" s="145"/>
      <c r="J19" s="145"/>
      <c r="K19" s="145"/>
      <c r="L19" s="145"/>
      <c r="M19" s="145"/>
      <c r="N19" s="145"/>
      <c r="O19" s="146"/>
      <c r="P19" s="80"/>
    </row>
    <row r="20" spans="2:16" ht="24" customHeight="1" x14ac:dyDescent="0.35">
      <c r="B20" s="36" t="s">
        <v>9</v>
      </c>
      <c r="C20" s="36">
        <v>0</v>
      </c>
      <c r="D20" s="36">
        <v>0</v>
      </c>
      <c r="E20" s="36">
        <v>0</v>
      </c>
      <c r="F20" s="37">
        <f t="shared" si="0"/>
        <v>0</v>
      </c>
      <c r="G20" s="95">
        <v>31500</v>
      </c>
      <c r="H20" s="95">
        <v>67846.153846153844</v>
      </c>
      <c r="I20" s="95">
        <v>32812.5</v>
      </c>
      <c r="J20" s="89">
        <f t="shared" si="1"/>
        <v>132158.65384615384</v>
      </c>
      <c r="K20" s="45">
        <v>31500</v>
      </c>
      <c r="L20" s="45">
        <v>67846.153846153844</v>
      </c>
      <c r="M20" s="45">
        <v>32812.5</v>
      </c>
      <c r="N20" s="40">
        <f>SUM(K20:M20)</f>
        <v>132158.65384615384</v>
      </c>
      <c r="O20" s="41">
        <f t="shared" si="2"/>
        <v>264317.30769230769</v>
      </c>
      <c r="P20" s="80"/>
    </row>
    <row r="21" spans="2:16" ht="23.4" customHeight="1" x14ac:dyDescent="0.35">
      <c r="B21" s="36" t="s">
        <v>10</v>
      </c>
      <c r="C21" s="36">
        <v>0</v>
      </c>
      <c r="D21" s="36">
        <v>0</v>
      </c>
      <c r="E21" s="36">
        <v>0</v>
      </c>
      <c r="F21" s="37">
        <f t="shared" si="0"/>
        <v>0</v>
      </c>
      <c r="G21" s="95">
        <v>3000</v>
      </c>
      <c r="H21" s="95">
        <v>6461.538461538461</v>
      </c>
      <c r="I21" s="95">
        <v>3125</v>
      </c>
      <c r="J21" s="89">
        <f t="shared" si="1"/>
        <v>12586.538461538461</v>
      </c>
      <c r="K21" s="45">
        <v>3000</v>
      </c>
      <c r="L21" s="45">
        <v>6461.538461538461</v>
      </c>
      <c r="M21" s="45">
        <v>3125</v>
      </c>
      <c r="N21" s="40">
        <f t="shared" ref="N21:N24" si="6">SUM(K21:M21)</f>
        <v>12586.538461538461</v>
      </c>
      <c r="O21" s="41">
        <f t="shared" si="2"/>
        <v>25173.076923076922</v>
      </c>
      <c r="P21" s="80"/>
    </row>
    <row r="22" spans="2:16" ht="33" customHeight="1" x14ac:dyDescent="0.35">
      <c r="B22" s="36" t="s">
        <v>11</v>
      </c>
      <c r="C22" s="36">
        <v>22500</v>
      </c>
      <c r="D22" s="46"/>
      <c r="E22" s="36">
        <v>100000</v>
      </c>
      <c r="F22" s="37">
        <f t="shared" si="0"/>
        <v>122500</v>
      </c>
      <c r="G22" s="95">
        <v>7500</v>
      </c>
      <c r="H22" s="95">
        <v>16153.846153846152</v>
      </c>
      <c r="I22" s="95">
        <v>7812.5</v>
      </c>
      <c r="J22" s="89">
        <f t="shared" si="1"/>
        <v>31466.346153846152</v>
      </c>
      <c r="K22" s="45">
        <v>7500</v>
      </c>
      <c r="L22" s="45">
        <v>16153.846153846152</v>
      </c>
      <c r="M22" s="45">
        <v>7812.5</v>
      </c>
      <c r="N22" s="40">
        <f t="shared" si="6"/>
        <v>31466.346153846152</v>
      </c>
      <c r="O22" s="41">
        <f t="shared" si="2"/>
        <v>185432.69230769231</v>
      </c>
      <c r="P22" s="80"/>
    </row>
    <row r="23" spans="2:16" ht="35.1" customHeight="1" x14ac:dyDescent="0.35">
      <c r="B23" s="36" t="s">
        <v>12</v>
      </c>
      <c r="C23" s="36">
        <v>2500</v>
      </c>
      <c r="D23" s="46"/>
      <c r="E23" s="36"/>
      <c r="F23" s="37">
        <f t="shared" si="0"/>
        <v>2500</v>
      </c>
      <c r="G23" s="95">
        <v>7500</v>
      </c>
      <c r="H23" s="95">
        <v>16153.846153846152</v>
      </c>
      <c r="I23" s="95">
        <v>7812.5</v>
      </c>
      <c r="J23" s="89">
        <f t="shared" si="1"/>
        <v>31466.346153846152</v>
      </c>
      <c r="K23" s="45">
        <v>7500</v>
      </c>
      <c r="L23" s="45">
        <v>16153.846153846152</v>
      </c>
      <c r="M23" s="45">
        <v>7812.5</v>
      </c>
      <c r="N23" s="40">
        <f t="shared" si="6"/>
        <v>31466.346153846152</v>
      </c>
      <c r="O23" s="41">
        <f t="shared" si="2"/>
        <v>65432.692307692312</v>
      </c>
      <c r="P23" s="80"/>
    </row>
    <row r="24" spans="2:16" ht="26.1" customHeight="1" x14ac:dyDescent="0.35">
      <c r="B24" s="36" t="s">
        <v>119</v>
      </c>
      <c r="C24" s="36">
        <f>11400+10900+5700+28800</f>
        <v>56800</v>
      </c>
      <c r="D24" s="36">
        <f>26481.49+23040.73+19255+8638.89+20142.6+28040.73+43260+41220</f>
        <v>210079.44</v>
      </c>
      <c r="E24" s="36">
        <v>200000</v>
      </c>
      <c r="F24" s="37">
        <f t="shared" si="0"/>
        <v>466879.44</v>
      </c>
      <c r="G24" s="95">
        <v>66000</v>
      </c>
      <c r="H24" s="95">
        <v>142153.84615384616</v>
      </c>
      <c r="I24" s="95">
        <v>68750</v>
      </c>
      <c r="J24" s="89">
        <f t="shared" si="1"/>
        <v>276903.84615384613</v>
      </c>
      <c r="K24" s="45">
        <v>66000</v>
      </c>
      <c r="L24" s="45">
        <v>142153.84615384616</v>
      </c>
      <c r="M24" s="45">
        <v>68750</v>
      </c>
      <c r="N24" s="40">
        <f t="shared" si="6"/>
        <v>276903.84615384613</v>
      </c>
      <c r="O24" s="41">
        <f t="shared" si="2"/>
        <v>1020687.1323076923</v>
      </c>
      <c r="P24" s="80"/>
    </row>
    <row r="25" spans="2:16" s="19" customFormat="1" ht="33" customHeight="1" x14ac:dyDescent="0.35">
      <c r="B25" s="30" t="s">
        <v>98</v>
      </c>
      <c r="C25" s="31">
        <f t="shared" ref="C25:O25" si="7">SUM(C20:C24)</f>
        <v>81800</v>
      </c>
      <c r="D25" s="31">
        <f t="shared" si="7"/>
        <v>210079.44</v>
      </c>
      <c r="E25" s="31">
        <f t="shared" si="7"/>
        <v>300000</v>
      </c>
      <c r="F25" s="31">
        <f t="shared" si="7"/>
        <v>591879.43999999994</v>
      </c>
      <c r="G25" s="92">
        <f t="shared" si="7"/>
        <v>115500</v>
      </c>
      <c r="H25" s="92">
        <f t="shared" si="7"/>
        <v>248769.23076923078</v>
      </c>
      <c r="I25" s="92">
        <f t="shared" si="7"/>
        <v>120312.5</v>
      </c>
      <c r="J25" s="92">
        <f t="shared" si="7"/>
        <v>484581.73076923075</v>
      </c>
      <c r="K25" s="31">
        <f t="shared" si="7"/>
        <v>115500</v>
      </c>
      <c r="L25" s="31">
        <f t="shared" si="7"/>
        <v>248769.23076923078</v>
      </c>
      <c r="M25" s="31">
        <f t="shared" si="7"/>
        <v>120312.5</v>
      </c>
      <c r="N25" s="31">
        <f t="shared" si="7"/>
        <v>484581.73076923075</v>
      </c>
      <c r="O25" s="31">
        <f t="shared" si="7"/>
        <v>1561042.9015384614</v>
      </c>
      <c r="P25" s="80"/>
    </row>
    <row r="26" spans="2:16" s="12" customFormat="1" ht="32.4" customHeight="1" x14ac:dyDescent="0.35">
      <c r="B26" s="141" t="s">
        <v>99</v>
      </c>
      <c r="C26" s="153"/>
      <c r="D26" s="153"/>
      <c r="E26" s="153"/>
      <c r="F26" s="153"/>
      <c r="G26" s="153"/>
      <c r="H26" s="153"/>
      <c r="I26" s="153"/>
      <c r="J26" s="153"/>
      <c r="K26" s="153"/>
      <c r="L26" s="153"/>
      <c r="M26" s="153"/>
      <c r="N26" s="153"/>
      <c r="O26" s="154"/>
      <c r="P26" s="80"/>
    </row>
    <row r="27" spans="2:16" ht="20.100000000000001" customHeight="1" x14ac:dyDescent="0.35">
      <c r="B27" s="144" t="s">
        <v>3</v>
      </c>
      <c r="C27" s="145"/>
      <c r="D27" s="145"/>
      <c r="E27" s="145"/>
      <c r="F27" s="145"/>
      <c r="G27" s="145"/>
      <c r="H27" s="145"/>
      <c r="I27" s="145"/>
      <c r="J27" s="145"/>
      <c r="K27" s="145"/>
      <c r="L27" s="145"/>
      <c r="M27" s="145"/>
      <c r="N27" s="145"/>
      <c r="O27" s="146"/>
      <c r="P27" s="80"/>
    </row>
    <row r="28" spans="2:16" ht="36.6" customHeight="1" x14ac:dyDescent="0.35">
      <c r="B28" s="36" t="s">
        <v>120</v>
      </c>
      <c r="C28" s="36">
        <v>36390</v>
      </c>
      <c r="D28" s="36">
        <v>77173</v>
      </c>
      <c r="E28" s="36">
        <v>0</v>
      </c>
      <c r="F28" s="37">
        <f>SUM(C28:E28)</f>
        <v>113563</v>
      </c>
      <c r="G28" s="90">
        <v>0</v>
      </c>
      <c r="H28" s="90">
        <v>0</v>
      </c>
      <c r="I28" s="90">
        <v>0</v>
      </c>
      <c r="J28" s="89">
        <f t="shared" si="1"/>
        <v>0</v>
      </c>
      <c r="K28" s="43">
        <v>0</v>
      </c>
      <c r="L28" s="43">
        <v>0</v>
      </c>
      <c r="M28" s="43">
        <v>0</v>
      </c>
      <c r="N28" s="41">
        <f>SUM(K28:M28)</f>
        <v>0</v>
      </c>
      <c r="O28" s="41">
        <f t="shared" si="2"/>
        <v>113563</v>
      </c>
      <c r="P28" s="80"/>
    </row>
    <row r="29" spans="2:16" ht="26.1" customHeight="1" x14ac:dyDescent="0.35">
      <c r="B29" s="36" t="s">
        <v>121</v>
      </c>
      <c r="C29" s="36"/>
      <c r="D29" s="36"/>
      <c r="E29" s="36">
        <v>0</v>
      </c>
      <c r="F29" s="37">
        <f t="shared" ref="F29:F33" si="8">SUM(C29:E29)</f>
        <v>0</v>
      </c>
      <c r="G29" s="90">
        <v>0</v>
      </c>
      <c r="H29" s="90">
        <v>0</v>
      </c>
      <c r="I29" s="90">
        <v>0</v>
      </c>
      <c r="J29" s="89">
        <f t="shared" si="1"/>
        <v>0</v>
      </c>
      <c r="K29" s="43">
        <v>0</v>
      </c>
      <c r="L29" s="43">
        <v>0</v>
      </c>
      <c r="M29" s="43">
        <v>0</v>
      </c>
      <c r="N29" s="41">
        <f t="shared" ref="N29:N33" si="9">SUM(K29:M29)</f>
        <v>0</v>
      </c>
      <c r="O29" s="41">
        <f t="shared" si="2"/>
        <v>0</v>
      </c>
      <c r="P29" s="80"/>
    </row>
    <row r="30" spans="2:16" ht="30.6" customHeight="1" x14ac:dyDescent="0.35">
      <c r="B30" s="36" t="s">
        <v>13</v>
      </c>
      <c r="C30" s="36">
        <v>27700</v>
      </c>
      <c r="D30" s="36">
        <v>90000</v>
      </c>
      <c r="E30" s="36">
        <v>0</v>
      </c>
      <c r="F30" s="37">
        <f t="shared" si="8"/>
        <v>117700</v>
      </c>
      <c r="G30" s="95">
        <v>18000</v>
      </c>
      <c r="H30" s="95">
        <v>38769.230769230766</v>
      </c>
      <c r="I30" s="95">
        <v>18750</v>
      </c>
      <c r="J30" s="89">
        <f t="shared" si="1"/>
        <v>75519.230769230766</v>
      </c>
      <c r="K30" s="45">
        <v>18000</v>
      </c>
      <c r="L30" s="45">
        <v>38769.230769230766</v>
      </c>
      <c r="M30" s="45">
        <v>18750</v>
      </c>
      <c r="N30" s="41">
        <f t="shared" si="9"/>
        <v>75519.230769230766</v>
      </c>
      <c r="O30" s="41">
        <f t="shared" si="2"/>
        <v>268738.4615384615</v>
      </c>
      <c r="P30" s="80"/>
    </row>
    <row r="31" spans="2:16" ht="21" customHeight="1" x14ac:dyDescent="0.35">
      <c r="B31" s="36" t="s">
        <v>122</v>
      </c>
      <c r="C31" s="36">
        <v>46800</v>
      </c>
      <c r="D31" s="36"/>
      <c r="E31" s="36">
        <v>0</v>
      </c>
      <c r="F31" s="37">
        <f t="shared" si="8"/>
        <v>46800</v>
      </c>
      <c r="G31" s="95">
        <v>15000</v>
      </c>
      <c r="H31" s="95">
        <v>32307.692307692305</v>
      </c>
      <c r="I31" s="95">
        <v>15625</v>
      </c>
      <c r="J31" s="89">
        <f t="shared" si="1"/>
        <v>62932.692307692305</v>
      </c>
      <c r="K31" s="45">
        <v>15000</v>
      </c>
      <c r="L31" s="45">
        <v>32307.692307692305</v>
      </c>
      <c r="M31" s="45">
        <v>15625</v>
      </c>
      <c r="N31" s="41">
        <f t="shared" si="9"/>
        <v>62932.692307692305</v>
      </c>
      <c r="O31" s="41">
        <f t="shared" si="2"/>
        <v>172665.38461538462</v>
      </c>
      <c r="P31" s="80"/>
    </row>
    <row r="32" spans="2:16" ht="27" customHeight="1" x14ac:dyDescent="0.35">
      <c r="B32" s="36" t="s">
        <v>14</v>
      </c>
      <c r="C32" s="36">
        <v>22500</v>
      </c>
      <c r="D32" s="36"/>
      <c r="E32" s="36">
        <v>0</v>
      </c>
      <c r="F32" s="37">
        <f t="shared" si="8"/>
        <v>22500</v>
      </c>
      <c r="G32" s="95">
        <v>13500</v>
      </c>
      <c r="H32" s="95">
        <v>29076.923076923074</v>
      </c>
      <c r="I32" s="95">
        <v>14062.5</v>
      </c>
      <c r="J32" s="89">
        <f t="shared" si="1"/>
        <v>56639.423076923078</v>
      </c>
      <c r="K32" s="45">
        <v>13500</v>
      </c>
      <c r="L32" s="45">
        <v>29076.923076923074</v>
      </c>
      <c r="M32" s="45">
        <v>14062.5</v>
      </c>
      <c r="N32" s="41">
        <f t="shared" si="9"/>
        <v>56639.423076923078</v>
      </c>
      <c r="O32" s="41">
        <f t="shared" si="2"/>
        <v>135778.84615384616</v>
      </c>
      <c r="P32" s="80"/>
    </row>
    <row r="33" spans="2:16" ht="32.1" customHeight="1" x14ac:dyDescent="0.35">
      <c r="B33" s="43" t="s">
        <v>15</v>
      </c>
      <c r="C33" s="43">
        <v>16900</v>
      </c>
      <c r="D33" s="43"/>
      <c r="E33" s="43">
        <v>0</v>
      </c>
      <c r="F33" s="37">
        <f t="shared" si="8"/>
        <v>16900</v>
      </c>
      <c r="G33" s="96">
        <v>9000</v>
      </c>
      <c r="H33" s="96">
        <v>19384.615384615383</v>
      </c>
      <c r="I33" s="96">
        <v>9375</v>
      </c>
      <c r="J33" s="89">
        <f t="shared" si="1"/>
        <v>37759.615384615383</v>
      </c>
      <c r="K33" s="47">
        <v>9000</v>
      </c>
      <c r="L33" s="47">
        <v>19384.615384615383</v>
      </c>
      <c r="M33" s="47">
        <v>9375</v>
      </c>
      <c r="N33" s="41">
        <f t="shared" si="9"/>
        <v>37759.615384615383</v>
      </c>
      <c r="O33" s="41">
        <f t="shared" si="2"/>
        <v>92419.230769230766</v>
      </c>
      <c r="P33" s="80"/>
    </row>
    <row r="34" spans="2:16" s="19" customFormat="1" ht="30" customHeight="1" x14ac:dyDescent="0.35">
      <c r="B34" s="30" t="s">
        <v>98</v>
      </c>
      <c r="C34" s="32">
        <f t="shared" ref="C34:O34" si="10">SUM(C28:C33)</f>
        <v>150290</v>
      </c>
      <c r="D34" s="32">
        <f t="shared" si="10"/>
        <v>167173</v>
      </c>
      <c r="E34" s="32">
        <f t="shared" si="10"/>
        <v>0</v>
      </c>
      <c r="F34" s="32">
        <f t="shared" si="10"/>
        <v>317463</v>
      </c>
      <c r="G34" s="97">
        <f t="shared" si="10"/>
        <v>55500</v>
      </c>
      <c r="H34" s="97">
        <f t="shared" si="10"/>
        <v>119538.46153846153</v>
      </c>
      <c r="I34" s="97">
        <f t="shared" si="10"/>
        <v>57812.5</v>
      </c>
      <c r="J34" s="97">
        <f t="shared" si="10"/>
        <v>232850.9615384615</v>
      </c>
      <c r="K34" s="32">
        <f t="shared" si="10"/>
        <v>55500</v>
      </c>
      <c r="L34" s="32">
        <f t="shared" si="10"/>
        <v>119538.46153846153</v>
      </c>
      <c r="M34" s="32">
        <f t="shared" si="10"/>
        <v>57812.5</v>
      </c>
      <c r="N34" s="32">
        <f t="shared" si="10"/>
        <v>232850.9615384615</v>
      </c>
      <c r="O34" s="32">
        <f t="shared" si="10"/>
        <v>783164.92307692301</v>
      </c>
      <c r="P34" s="80"/>
    </row>
    <row r="35" spans="2:16" s="1" customFormat="1" ht="27.6" customHeight="1" thickBot="1" x14ac:dyDescent="0.4">
      <c r="B35" s="61" t="s">
        <v>90</v>
      </c>
      <c r="C35" s="61">
        <f>C15+C25+C34</f>
        <v>1229090</v>
      </c>
      <c r="D35" s="61">
        <f t="shared" ref="D35:O35" si="11">D15+D25+D34</f>
        <v>4037568.44</v>
      </c>
      <c r="E35" s="61">
        <f t="shared" si="11"/>
        <v>4068675</v>
      </c>
      <c r="F35" s="61">
        <f t="shared" si="11"/>
        <v>9335333.4399999995</v>
      </c>
      <c r="G35" s="98">
        <f t="shared" si="11"/>
        <v>2386000</v>
      </c>
      <c r="H35" s="98">
        <f t="shared" si="11"/>
        <v>5016256.4102564109</v>
      </c>
      <c r="I35" s="98">
        <f t="shared" si="11"/>
        <v>4415000</v>
      </c>
      <c r="J35" s="98">
        <f t="shared" si="11"/>
        <v>11817256.410256408</v>
      </c>
      <c r="K35" s="61">
        <f t="shared" si="11"/>
        <v>2386000</v>
      </c>
      <c r="L35" s="61">
        <f t="shared" si="11"/>
        <v>5016256.4102564109</v>
      </c>
      <c r="M35" s="61">
        <f t="shared" si="11"/>
        <v>4415000</v>
      </c>
      <c r="N35" s="61">
        <f t="shared" si="11"/>
        <v>11817256.410256408</v>
      </c>
      <c r="O35" s="61">
        <f t="shared" si="11"/>
        <v>32969846.260512818</v>
      </c>
      <c r="P35" s="80"/>
    </row>
    <row r="36" spans="2:16" ht="28.65" customHeight="1" thickTop="1" thickBot="1" x14ac:dyDescent="0.4">
      <c r="B36" s="158" t="s">
        <v>102</v>
      </c>
      <c r="C36" s="159"/>
      <c r="D36" s="159"/>
      <c r="E36" s="159"/>
      <c r="F36" s="159"/>
      <c r="G36" s="159"/>
      <c r="H36" s="159"/>
      <c r="I36" s="159"/>
      <c r="J36" s="159"/>
      <c r="K36" s="159"/>
      <c r="L36" s="159"/>
      <c r="M36" s="159"/>
      <c r="N36" s="159"/>
      <c r="O36" s="160"/>
      <c r="P36" s="80"/>
    </row>
    <row r="37" spans="2:16" ht="21" customHeight="1" thickTop="1" x14ac:dyDescent="0.35">
      <c r="B37" s="161" t="s">
        <v>103</v>
      </c>
      <c r="C37" s="162"/>
      <c r="D37" s="162"/>
      <c r="E37" s="162"/>
      <c r="F37" s="162"/>
      <c r="G37" s="162"/>
      <c r="H37" s="162"/>
      <c r="I37" s="162"/>
      <c r="J37" s="162"/>
      <c r="K37" s="162"/>
      <c r="L37" s="162"/>
      <c r="M37" s="162"/>
      <c r="N37" s="162"/>
      <c r="O37" s="163"/>
      <c r="P37" s="80"/>
    </row>
    <row r="38" spans="2:16" ht="18.600000000000001" customHeight="1" x14ac:dyDescent="0.35">
      <c r="B38" s="144" t="s">
        <v>5</v>
      </c>
      <c r="C38" s="145"/>
      <c r="D38" s="145"/>
      <c r="E38" s="145"/>
      <c r="F38" s="145"/>
      <c r="G38" s="145"/>
      <c r="H38" s="145"/>
      <c r="I38" s="145"/>
      <c r="J38" s="145"/>
      <c r="K38" s="145"/>
      <c r="L38" s="145"/>
      <c r="M38" s="145"/>
      <c r="N38" s="145"/>
      <c r="O38" s="146"/>
      <c r="P38" s="80"/>
    </row>
    <row r="39" spans="2:16" ht="19.5" customHeight="1" x14ac:dyDescent="0.35">
      <c r="B39" s="36" t="s">
        <v>123</v>
      </c>
      <c r="C39" s="36">
        <f>4900+5200</f>
        <v>10100</v>
      </c>
      <c r="D39" s="36">
        <v>0</v>
      </c>
      <c r="E39" s="36">
        <v>0</v>
      </c>
      <c r="F39" s="37">
        <f>SUM(C39:E39)</f>
        <v>10100</v>
      </c>
      <c r="G39" s="95">
        <v>0</v>
      </c>
      <c r="H39" s="95">
        <v>8820.5128205128203</v>
      </c>
      <c r="I39" s="95">
        <v>13437.5</v>
      </c>
      <c r="J39" s="89">
        <f t="shared" si="1"/>
        <v>22258.01282051282</v>
      </c>
      <c r="K39" s="45">
        <v>0</v>
      </c>
      <c r="L39" s="45">
        <v>8820.5128205128203</v>
      </c>
      <c r="M39" s="45">
        <v>13437.5</v>
      </c>
      <c r="N39" s="41">
        <f>SUM(K39:M39)</f>
        <v>22258.01282051282</v>
      </c>
      <c r="O39" s="41">
        <f t="shared" si="2"/>
        <v>54616.025641025641</v>
      </c>
      <c r="P39" s="80"/>
    </row>
    <row r="40" spans="2:16" ht="17.399999999999999" customHeight="1" x14ac:dyDescent="0.35">
      <c r="B40" s="36" t="s">
        <v>124</v>
      </c>
      <c r="C40" s="36">
        <v>0</v>
      </c>
      <c r="D40" s="36">
        <v>0</v>
      </c>
      <c r="E40" s="36">
        <v>0</v>
      </c>
      <c r="F40" s="37">
        <f t="shared" ref="F40:F47" si="12">SUM(C40:E40)</f>
        <v>0</v>
      </c>
      <c r="G40" s="95">
        <v>0</v>
      </c>
      <c r="H40" s="95">
        <v>44102.564102564102</v>
      </c>
      <c r="I40" s="95">
        <v>107500</v>
      </c>
      <c r="J40" s="89">
        <f t="shared" si="1"/>
        <v>151602.56410256409</v>
      </c>
      <c r="K40" s="45">
        <v>0</v>
      </c>
      <c r="L40" s="45">
        <v>44102.564102564102</v>
      </c>
      <c r="M40" s="45">
        <v>107500</v>
      </c>
      <c r="N40" s="41">
        <f t="shared" ref="N40:N60" si="13">SUM(K40:M40)</f>
        <v>151602.56410256409</v>
      </c>
      <c r="O40" s="41">
        <f t="shared" si="2"/>
        <v>303205.12820512819</v>
      </c>
      <c r="P40" s="80"/>
    </row>
    <row r="41" spans="2:16" ht="18.899999999999999" customHeight="1" x14ac:dyDescent="0.35">
      <c r="B41" s="36" t="s">
        <v>125</v>
      </c>
      <c r="C41" s="36">
        <v>0</v>
      </c>
      <c r="D41" s="36">
        <v>0</v>
      </c>
      <c r="E41" s="36">
        <v>0</v>
      </c>
      <c r="F41" s="37">
        <f t="shared" si="12"/>
        <v>0</v>
      </c>
      <c r="G41" s="95">
        <v>0</v>
      </c>
      <c r="H41" s="95">
        <v>1764.102564102564</v>
      </c>
      <c r="I41" s="95">
        <v>2150</v>
      </c>
      <c r="J41" s="89">
        <f t="shared" si="1"/>
        <v>3914.102564102564</v>
      </c>
      <c r="K41" s="45">
        <v>0</v>
      </c>
      <c r="L41" s="45">
        <v>1764.102564102564</v>
      </c>
      <c r="M41" s="45">
        <v>2150</v>
      </c>
      <c r="N41" s="41">
        <f t="shared" si="13"/>
        <v>3914.102564102564</v>
      </c>
      <c r="O41" s="41">
        <f t="shared" si="2"/>
        <v>7828.2051282051279</v>
      </c>
      <c r="P41" s="80"/>
    </row>
    <row r="42" spans="2:16" ht="20.399999999999999" customHeight="1" x14ac:dyDescent="0.35">
      <c r="B42" s="36" t="s">
        <v>29</v>
      </c>
      <c r="C42" s="36">
        <v>0</v>
      </c>
      <c r="D42" s="36">
        <v>0</v>
      </c>
      <c r="E42" s="36">
        <v>0</v>
      </c>
      <c r="F42" s="37">
        <f t="shared" si="12"/>
        <v>0</v>
      </c>
      <c r="G42" s="95">
        <v>0</v>
      </c>
      <c r="H42" s="95">
        <v>1764.102564102564</v>
      </c>
      <c r="I42" s="95">
        <v>2687.5</v>
      </c>
      <c r="J42" s="89">
        <f t="shared" si="1"/>
        <v>4451.6025641025644</v>
      </c>
      <c r="K42" s="45">
        <v>0</v>
      </c>
      <c r="L42" s="45">
        <v>1764.102564102564</v>
      </c>
      <c r="M42" s="45">
        <v>2687.5</v>
      </c>
      <c r="N42" s="41">
        <f t="shared" si="13"/>
        <v>4451.6025641025644</v>
      </c>
      <c r="O42" s="41">
        <f t="shared" si="2"/>
        <v>8903.2051282051289</v>
      </c>
      <c r="P42" s="80"/>
    </row>
    <row r="43" spans="2:16" ht="18" customHeight="1" x14ac:dyDescent="0.35">
      <c r="B43" s="36" t="s">
        <v>30</v>
      </c>
      <c r="C43" s="36">
        <v>0</v>
      </c>
      <c r="D43" s="36">
        <v>0</v>
      </c>
      <c r="E43" s="36">
        <v>0</v>
      </c>
      <c r="F43" s="37">
        <f t="shared" si="12"/>
        <v>0</v>
      </c>
      <c r="G43" s="95">
        <v>0</v>
      </c>
      <c r="H43" s="95">
        <v>4410.2564102564102</v>
      </c>
      <c r="I43" s="95">
        <v>8062.5</v>
      </c>
      <c r="J43" s="89">
        <f t="shared" si="1"/>
        <v>12472.75641025641</v>
      </c>
      <c r="K43" s="45">
        <v>0</v>
      </c>
      <c r="L43" s="45">
        <v>4410.2564102564102</v>
      </c>
      <c r="M43" s="45">
        <v>8062.5</v>
      </c>
      <c r="N43" s="41">
        <f t="shared" si="13"/>
        <v>12472.75641025641</v>
      </c>
      <c r="O43" s="41">
        <f t="shared" si="2"/>
        <v>24945.51282051282</v>
      </c>
      <c r="P43" s="80"/>
    </row>
    <row r="44" spans="2:16" ht="18.899999999999999" customHeight="1" x14ac:dyDescent="0.35">
      <c r="B44" s="36" t="s">
        <v>31</v>
      </c>
      <c r="C44" s="36">
        <v>0</v>
      </c>
      <c r="D44" s="36">
        <v>0</v>
      </c>
      <c r="E44" s="36">
        <v>0</v>
      </c>
      <c r="F44" s="37">
        <f t="shared" si="12"/>
        <v>0</v>
      </c>
      <c r="G44" s="95">
        <v>0</v>
      </c>
      <c r="H44" s="95">
        <v>176410.25641025641</v>
      </c>
      <c r="I44" s="95">
        <v>322500</v>
      </c>
      <c r="J44" s="89">
        <f t="shared" si="1"/>
        <v>498910.25641025638</v>
      </c>
      <c r="K44" s="45">
        <v>0</v>
      </c>
      <c r="L44" s="45">
        <v>176410.25641025641</v>
      </c>
      <c r="M44" s="45">
        <v>322500</v>
      </c>
      <c r="N44" s="41">
        <f t="shared" si="13"/>
        <v>498910.25641025638</v>
      </c>
      <c r="O44" s="41">
        <f t="shared" si="2"/>
        <v>997820.51282051275</v>
      </c>
      <c r="P44" s="80"/>
    </row>
    <row r="45" spans="2:16" ht="26.4" customHeight="1" x14ac:dyDescent="0.35">
      <c r="B45" s="48" t="s">
        <v>126</v>
      </c>
      <c r="C45" s="48">
        <v>0</v>
      </c>
      <c r="D45" s="48">
        <v>0</v>
      </c>
      <c r="E45" s="48">
        <v>0</v>
      </c>
      <c r="F45" s="37">
        <f t="shared" si="12"/>
        <v>0</v>
      </c>
      <c r="G45" s="95">
        <v>0</v>
      </c>
      <c r="H45" s="95">
        <v>1323.0769230769231</v>
      </c>
      <c r="I45" s="95">
        <v>1612.5</v>
      </c>
      <c r="J45" s="89">
        <f t="shared" si="1"/>
        <v>2935.5769230769229</v>
      </c>
      <c r="K45" s="49">
        <v>0</v>
      </c>
      <c r="L45" s="45">
        <v>1323.0769230769231</v>
      </c>
      <c r="M45" s="45">
        <v>1612.5</v>
      </c>
      <c r="N45" s="41">
        <f t="shared" si="13"/>
        <v>2935.5769230769229</v>
      </c>
      <c r="O45" s="41">
        <f t="shared" si="2"/>
        <v>5871.1538461538457</v>
      </c>
      <c r="P45" s="80"/>
    </row>
    <row r="46" spans="2:16" ht="19.5" customHeight="1" x14ac:dyDescent="0.35">
      <c r="B46" s="48" t="s">
        <v>32</v>
      </c>
      <c r="C46" s="48">
        <v>0</v>
      </c>
      <c r="D46" s="48">
        <v>0</v>
      </c>
      <c r="E46" s="48">
        <v>0</v>
      </c>
      <c r="F46" s="37">
        <f t="shared" si="12"/>
        <v>0</v>
      </c>
      <c r="G46" s="95">
        <v>0</v>
      </c>
      <c r="H46" s="95">
        <v>132307.69230769231</v>
      </c>
      <c r="I46" s="95">
        <v>215000</v>
      </c>
      <c r="J46" s="89">
        <f t="shared" si="1"/>
        <v>347307.69230769231</v>
      </c>
      <c r="K46" s="49">
        <v>0</v>
      </c>
      <c r="L46" s="45">
        <v>132307.69230769231</v>
      </c>
      <c r="M46" s="45">
        <v>215000</v>
      </c>
      <c r="N46" s="41">
        <f t="shared" si="13"/>
        <v>347307.69230769231</v>
      </c>
      <c r="O46" s="41">
        <f t="shared" si="2"/>
        <v>694615.38461538462</v>
      </c>
      <c r="P46" s="80"/>
    </row>
    <row r="47" spans="2:16" ht="21.9" customHeight="1" x14ac:dyDescent="0.35">
      <c r="B47" s="36" t="s">
        <v>33</v>
      </c>
      <c r="C47" s="36">
        <v>0</v>
      </c>
      <c r="D47" s="36">
        <v>0</v>
      </c>
      <c r="E47" s="36">
        <v>0</v>
      </c>
      <c r="F47" s="37">
        <f t="shared" si="12"/>
        <v>0</v>
      </c>
      <c r="G47" s="95">
        <v>0</v>
      </c>
      <c r="H47" s="95">
        <v>4410.2564102564102</v>
      </c>
      <c r="I47" s="95">
        <v>8062.5</v>
      </c>
      <c r="J47" s="89">
        <f t="shared" si="1"/>
        <v>12472.75641025641</v>
      </c>
      <c r="K47" s="45">
        <v>0</v>
      </c>
      <c r="L47" s="45">
        <v>4410.2564102564102</v>
      </c>
      <c r="M47" s="45">
        <v>8062.5</v>
      </c>
      <c r="N47" s="41">
        <f t="shared" si="13"/>
        <v>12472.75641025641</v>
      </c>
      <c r="O47" s="41">
        <f t="shared" si="2"/>
        <v>24945.51282051282</v>
      </c>
      <c r="P47" s="80"/>
    </row>
    <row r="48" spans="2:16" ht="21.6" customHeight="1" x14ac:dyDescent="0.35">
      <c r="B48" s="34" t="s">
        <v>112</v>
      </c>
      <c r="C48" s="7"/>
      <c r="D48" s="7"/>
      <c r="E48" s="7"/>
      <c r="F48" s="7"/>
      <c r="G48" s="99">
        <v>0</v>
      </c>
      <c r="H48" s="99">
        <v>0</v>
      </c>
      <c r="I48" s="99">
        <v>0</v>
      </c>
      <c r="J48" s="99">
        <v>0</v>
      </c>
      <c r="K48" s="6">
        <v>0</v>
      </c>
      <c r="L48" s="6">
        <v>0</v>
      </c>
      <c r="M48" s="6">
        <v>0</v>
      </c>
      <c r="N48" s="6">
        <v>0</v>
      </c>
      <c r="O48" s="6">
        <v>0</v>
      </c>
      <c r="P48" s="80"/>
    </row>
    <row r="49" spans="2:16" ht="23.1" customHeight="1" x14ac:dyDescent="0.35">
      <c r="B49" s="36" t="s">
        <v>34</v>
      </c>
      <c r="C49" s="36">
        <v>40000</v>
      </c>
      <c r="D49" s="36">
        <f>27445+29246+18519</f>
        <v>75210</v>
      </c>
      <c r="E49" s="36">
        <v>100000</v>
      </c>
      <c r="F49" s="37">
        <f>SUM(C49:E49)</f>
        <v>215210</v>
      </c>
      <c r="G49" s="95">
        <v>0</v>
      </c>
      <c r="H49" s="95">
        <v>441025.641025641</v>
      </c>
      <c r="I49" s="95">
        <v>645000</v>
      </c>
      <c r="J49" s="89">
        <f t="shared" si="1"/>
        <v>1086025.641025641</v>
      </c>
      <c r="K49" s="45">
        <v>0</v>
      </c>
      <c r="L49" s="45">
        <v>441025.641025641</v>
      </c>
      <c r="M49" s="45">
        <v>645000</v>
      </c>
      <c r="N49" s="41">
        <f t="shared" si="13"/>
        <v>1086025.641025641</v>
      </c>
      <c r="O49" s="41">
        <f t="shared" si="2"/>
        <v>2387261.282051282</v>
      </c>
      <c r="P49" s="80"/>
    </row>
    <row r="50" spans="2:16" ht="18.899999999999999" customHeight="1" x14ac:dyDescent="0.35">
      <c r="B50" s="36" t="s">
        <v>127</v>
      </c>
      <c r="C50" s="36"/>
      <c r="D50" s="36">
        <v>80000</v>
      </c>
      <c r="E50" s="36">
        <v>106000</v>
      </c>
      <c r="F50" s="37">
        <f t="shared" ref="F50:F60" si="14">SUM(C50:E50)</f>
        <v>186000</v>
      </c>
      <c r="G50" s="95">
        <v>0</v>
      </c>
      <c r="H50" s="95">
        <v>882051.282051282</v>
      </c>
      <c r="I50" s="95">
        <v>1290000</v>
      </c>
      <c r="J50" s="89">
        <f t="shared" si="1"/>
        <v>2172051.282051282</v>
      </c>
      <c r="K50" s="45">
        <v>0</v>
      </c>
      <c r="L50" s="45">
        <v>882051.282051282</v>
      </c>
      <c r="M50" s="45">
        <v>1290000</v>
      </c>
      <c r="N50" s="41">
        <f t="shared" si="13"/>
        <v>2172051.282051282</v>
      </c>
      <c r="O50" s="41">
        <f t="shared" si="2"/>
        <v>4530102.564102564</v>
      </c>
      <c r="P50" s="80"/>
    </row>
    <row r="51" spans="2:16" ht="19.5" customHeight="1" x14ac:dyDescent="0.35">
      <c r="B51" s="36" t="s">
        <v>35</v>
      </c>
      <c r="C51" s="36">
        <v>0</v>
      </c>
      <c r="D51" s="36">
        <v>0</v>
      </c>
      <c r="E51" s="36">
        <v>0</v>
      </c>
      <c r="F51" s="37">
        <f t="shared" si="14"/>
        <v>0</v>
      </c>
      <c r="G51" s="95">
        <v>0</v>
      </c>
      <c r="H51" s="95">
        <v>132307.69230769231</v>
      </c>
      <c r="I51" s="95">
        <v>322500</v>
      </c>
      <c r="J51" s="89">
        <f t="shared" si="1"/>
        <v>454807.69230769231</v>
      </c>
      <c r="K51" s="45">
        <v>0</v>
      </c>
      <c r="L51" s="45">
        <v>132307.69230769231</v>
      </c>
      <c r="M51" s="45">
        <v>322500</v>
      </c>
      <c r="N51" s="41">
        <f t="shared" si="13"/>
        <v>454807.69230769231</v>
      </c>
      <c r="O51" s="41">
        <f t="shared" si="2"/>
        <v>909615.38461538462</v>
      </c>
      <c r="P51" s="80"/>
    </row>
    <row r="52" spans="2:16" ht="21" customHeight="1" x14ac:dyDescent="0.35">
      <c r="B52" s="36" t="s">
        <v>36</v>
      </c>
      <c r="C52" s="36">
        <v>0</v>
      </c>
      <c r="D52" s="36">
        <v>0</v>
      </c>
      <c r="E52" s="36">
        <v>0</v>
      </c>
      <c r="F52" s="37">
        <f t="shared" si="14"/>
        <v>0</v>
      </c>
      <c r="G52" s="95">
        <v>0</v>
      </c>
      <c r="H52" s="95">
        <v>157128.20512820513</v>
      </c>
      <c r="I52" s="95">
        <v>236250</v>
      </c>
      <c r="J52" s="89">
        <f t="shared" si="1"/>
        <v>393378.20512820513</v>
      </c>
      <c r="K52" s="45">
        <v>0</v>
      </c>
      <c r="L52" s="45">
        <v>157128.20512820513</v>
      </c>
      <c r="M52" s="45">
        <v>236250</v>
      </c>
      <c r="N52" s="41">
        <f t="shared" si="13"/>
        <v>393378.20512820513</v>
      </c>
      <c r="O52" s="41">
        <f t="shared" si="2"/>
        <v>786756.41025641025</v>
      </c>
      <c r="P52" s="80"/>
    </row>
    <row r="53" spans="2:16" ht="21" customHeight="1" x14ac:dyDescent="0.35">
      <c r="B53" s="36" t="s">
        <v>128</v>
      </c>
      <c r="C53" s="36">
        <v>0</v>
      </c>
      <c r="D53" s="36">
        <v>90037</v>
      </c>
      <c r="E53" s="36">
        <v>0</v>
      </c>
      <c r="F53" s="37">
        <f t="shared" si="14"/>
        <v>90037</v>
      </c>
      <c r="G53" s="95">
        <v>0</v>
      </c>
      <c r="H53" s="95">
        <v>396923.07692307694</v>
      </c>
      <c r="I53" s="95">
        <v>645000</v>
      </c>
      <c r="J53" s="89">
        <f t="shared" si="1"/>
        <v>1041923.076923077</v>
      </c>
      <c r="K53" s="45">
        <v>0</v>
      </c>
      <c r="L53" s="45">
        <v>396923.07692307694</v>
      </c>
      <c r="M53" s="45">
        <v>645000</v>
      </c>
      <c r="N53" s="41">
        <f t="shared" si="13"/>
        <v>1041923.076923077</v>
      </c>
      <c r="O53" s="41">
        <f t="shared" si="2"/>
        <v>2173883.153846154</v>
      </c>
      <c r="P53" s="80"/>
    </row>
    <row r="54" spans="2:16" ht="24" customHeight="1" x14ac:dyDescent="0.35">
      <c r="B54" s="36" t="s">
        <v>37</v>
      </c>
      <c r="C54" s="36">
        <v>0</v>
      </c>
      <c r="D54" s="36">
        <v>0</v>
      </c>
      <c r="E54" s="36">
        <v>0</v>
      </c>
      <c r="F54" s="37">
        <f t="shared" si="14"/>
        <v>0</v>
      </c>
      <c r="G54" s="95">
        <v>0</v>
      </c>
      <c r="H54" s="95">
        <v>13230.76923076923</v>
      </c>
      <c r="I54" s="95">
        <v>21500</v>
      </c>
      <c r="J54" s="89">
        <f t="shared" si="1"/>
        <v>34730.769230769234</v>
      </c>
      <c r="K54" s="45">
        <v>0</v>
      </c>
      <c r="L54" s="45">
        <v>13230.76923076923</v>
      </c>
      <c r="M54" s="45">
        <v>21500</v>
      </c>
      <c r="N54" s="41">
        <f t="shared" si="13"/>
        <v>34730.769230769234</v>
      </c>
      <c r="O54" s="41">
        <f t="shared" si="2"/>
        <v>69461.538461538468</v>
      </c>
      <c r="P54" s="80"/>
    </row>
    <row r="55" spans="2:16" ht="20.399999999999999" customHeight="1" x14ac:dyDescent="0.35">
      <c r="B55" s="36" t="s">
        <v>38</v>
      </c>
      <c r="C55" s="36">
        <v>0</v>
      </c>
      <c r="D55" s="36">
        <v>0</v>
      </c>
      <c r="E55" s="36">
        <v>0</v>
      </c>
      <c r="F55" s="37">
        <f t="shared" si="14"/>
        <v>0</v>
      </c>
      <c r="G55" s="95">
        <v>0</v>
      </c>
      <c r="H55" s="95">
        <v>4410.2564102564102</v>
      </c>
      <c r="I55" s="95">
        <v>8062.5</v>
      </c>
      <c r="J55" s="89">
        <f t="shared" si="1"/>
        <v>12472.75641025641</v>
      </c>
      <c r="K55" s="45">
        <v>0</v>
      </c>
      <c r="L55" s="45">
        <v>4410.2564102564102</v>
      </c>
      <c r="M55" s="45">
        <v>8062.5</v>
      </c>
      <c r="N55" s="41">
        <f t="shared" si="13"/>
        <v>12472.75641025641</v>
      </c>
      <c r="O55" s="41">
        <f t="shared" si="2"/>
        <v>24945.51282051282</v>
      </c>
      <c r="P55" s="80"/>
    </row>
    <row r="56" spans="2:16" ht="20.399999999999999" customHeight="1" x14ac:dyDescent="0.35">
      <c r="B56" s="36" t="s">
        <v>39</v>
      </c>
      <c r="C56" s="36">
        <v>0</v>
      </c>
      <c r="D56" s="36">
        <v>0</v>
      </c>
      <c r="E56" s="36">
        <v>0</v>
      </c>
      <c r="F56" s="37">
        <f t="shared" si="14"/>
        <v>0</v>
      </c>
      <c r="G56" s="95">
        <v>0</v>
      </c>
      <c r="H56" s="95">
        <v>13230.76923076923</v>
      </c>
      <c r="I56" s="95">
        <v>21500</v>
      </c>
      <c r="J56" s="89">
        <f t="shared" si="1"/>
        <v>34730.769230769234</v>
      </c>
      <c r="K56" s="45">
        <v>0</v>
      </c>
      <c r="L56" s="45">
        <v>13230.76923076923</v>
      </c>
      <c r="M56" s="45">
        <v>21500</v>
      </c>
      <c r="N56" s="41">
        <f t="shared" si="13"/>
        <v>34730.769230769234</v>
      </c>
      <c r="O56" s="41">
        <f t="shared" si="2"/>
        <v>69461.538461538468</v>
      </c>
      <c r="P56" s="80"/>
    </row>
    <row r="57" spans="2:16" ht="18.600000000000001" customHeight="1" x14ac:dyDescent="0.35">
      <c r="B57" s="36" t="s">
        <v>40</v>
      </c>
      <c r="C57" s="36">
        <v>0</v>
      </c>
      <c r="D57" s="36">
        <v>0</v>
      </c>
      <c r="E57" s="36">
        <v>0</v>
      </c>
      <c r="F57" s="37">
        <f t="shared" si="14"/>
        <v>0</v>
      </c>
      <c r="G57" s="95">
        <v>0</v>
      </c>
      <c r="H57" s="95">
        <v>0</v>
      </c>
      <c r="I57" s="95">
        <v>107500</v>
      </c>
      <c r="J57" s="89">
        <f t="shared" si="1"/>
        <v>107500</v>
      </c>
      <c r="K57" s="45">
        <v>0</v>
      </c>
      <c r="L57" s="45">
        <v>0</v>
      </c>
      <c r="M57" s="45">
        <v>107500</v>
      </c>
      <c r="N57" s="41">
        <f t="shared" si="13"/>
        <v>107500</v>
      </c>
      <c r="O57" s="41">
        <f t="shared" si="2"/>
        <v>215000</v>
      </c>
      <c r="P57" s="80"/>
    </row>
    <row r="58" spans="2:16" ht="21.6" customHeight="1" x14ac:dyDescent="0.35">
      <c r="B58" s="36" t="s">
        <v>41</v>
      </c>
      <c r="C58" s="36">
        <v>0</v>
      </c>
      <c r="D58" s="36">
        <v>0</v>
      </c>
      <c r="E58" s="36">
        <v>0</v>
      </c>
      <c r="F58" s="37">
        <f t="shared" si="14"/>
        <v>0</v>
      </c>
      <c r="G58" s="95">
        <v>0</v>
      </c>
      <c r="H58" s="95">
        <v>88205.128205128203</v>
      </c>
      <c r="I58" s="95">
        <v>161250</v>
      </c>
      <c r="J58" s="89">
        <f t="shared" si="1"/>
        <v>249455.12820512819</v>
      </c>
      <c r="K58" s="45">
        <v>0</v>
      </c>
      <c r="L58" s="45">
        <v>88205.128205128203</v>
      </c>
      <c r="M58" s="45">
        <v>161250</v>
      </c>
      <c r="N58" s="41">
        <f t="shared" si="13"/>
        <v>249455.12820512819</v>
      </c>
      <c r="O58" s="41">
        <f t="shared" si="2"/>
        <v>498910.25641025638</v>
      </c>
      <c r="P58" s="80"/>
    </row>
    <row r="59" spans="2:16" ht="18.899999999999999" customHeight="1" x14ac:dyDescent="0.35">
      <c r="B59" s="36" t="s">
        <v>42</v>
      </c>
      <c r="C59" s="36">
        <v>0</v>
      </c>
      <c r="D59" s="36">
        <v>0</v>
      </c>
      <c r="E59" s="36">
        <v>0</v>
      </c>
      <c r="F59" s="37">
        <f t="shared" si="14"/>
        <v>0</v>
      </c>
      <c r="G59" s="95">
        <v>0</v>
      </c>
      <c r="H59" s="95">
        <v>88205.128205128203</v>
      </c>
      <c r="I59" s="95">
        <v>161250</v>
      </c>
      <c r="J59" s="89">
        <f t="shared" si="1"/>
        <v>249455.12820512819</v>
      </c>
      <c r="K59" s="45">
        <v>0</v>
      </c>
      <c r="L59" s="45">
        <v>88205.128205128203</v>
      </c>
      <c r="M59" s="45">
        <v>161250</v>
      </c>
      <c r="N59" s="41">
        <f t="shared" si="13"/>
        <v>249455.12820512819</v>
      </c>
      <c r="O59" s="41">
        <f t="shared" si="2"/>
        <v>498910.25641025638</v>
      </c>
      <c r="P59" s="80"/>
    </row>
    <row r="60" spans="2:16" ht="21.9" customHeight="1" x14ac:dyDescent="0.35">
      <c r="B60" s="48" t="s">
        <v>43</v>
      </c>
      <c r="C60" s="48">
        <v>0</v>
      </c>
      <c r="D60" s="48">
        <v>0</v>
      </c>
      <c r="E60" s="48">
        <v>0</v>
      </c>
      <c r="F60" s="37">
        <f t="shared" si="14"/>
        <v>0</v>
      </c>
      <c r="G60" s="95">
        <v>0</v>
      </c>
      <c r="H60" s="95">
        <v>13230.76923076923</v>
      </c>
      <c r="I60" s="95">
        <v>21500</v>
      </c>
      <c r="J60" s="89">
        <f t="shared" si="1"/>
        <v>34730.769230769234</v>
      </c>
      <c r="K60" s="49">
        <v>0</v>
      </c>
      <c r="L60" s="45">
        <v>13230.76923076923</v>
      </c>
      <c r="M60" s="45">
        <v>21500</v>
      </c>
      <c r="N60" s="41">
        <f t="shared" si="13"/>
        <v>34730.769230769234</v>
      </c>
      <c r="O60" s="41">
        <f t="shared" si="2"/>
        <v>69461.538461538468</v>
      </c>
      <c r="P60" s="80"/>
    </row>
    <row r="61" spans="2:16" s="19" customFormat="1" ht="21" customHeight="1" x14ac:dyDescent="0.35">
      <c r="B61" s="30" t="s">
        <v>105</v>
      </c>
      <c r="C61" s="30">
        <f t="shared" ref="C61:O61" si="15">SUM(C39:C60)</f>
        <v>50100</v>
      </c>
      <c r="D61" s="30">
        <f t="shared" si="15"/>
        <v>245247</v>
      </c>
      <c r="E61" s="30">
        <f t="shared" si="15"/>
        <v>206000</v>
      </c>
      <c r="F61" s="30">
        <f t="shared" si="15"/>
        <v>501347</v>
      </c>
      <c r="G61" s="100">
        <f t="shared" si="15"/>
        <v>0</v>
      </c>
      <c r="H61" s="100">
        <f t="shared" si="15"/>
        <v>2605261.5384615376</v>
      </c>
      <c r="I61" s="100">
        <f t="shared" si="15"/>
        <v>4322325</v>
      </c>
      <c r="J61" s="100">
        <f t="shared" si="15"/>
        <v>6927586.5384615371</v>
      </c>
      <c r="K61" s="30">
        <f t="shared" si="15"/>
        <v>0</v>
      </c>
      <c r="L61" s="30">
        <f t="shared" si="15"/>
        <v>2605261.5384615376</v>
      </c>
      <c r="M61" s="30">
        <f t="shared" si="15"/>
        <v>4322325</v>
      </c>
      <c r="N61" s="30">
        <f t="shared" si="15"/>
        <v>6927586.5384615371</v>
      </c>
      <c r="O61" s="30">
        <f t="shared" si="15"/>
        <v>14356520.076923074</v>
      </c>
      <c r="P61" s="80"/>
    </row>
    <row r="62" spans="2:16" ht="18" customHeight="1" x14ac:dyDescent="0.35">
      <c r="B62" s="141" t="s">
        <v>104</v>
      </c>
      <c r="C62" s="153"/>
      <c r="D62" s="153"/>
      <c r="E62" s="153"/>
      <c r="F62" s="153"/>
      <c r="G62" s="153"/>
      <c r="H62" s="153"/>
      <c r="I62" s="153"/>
      <c r="J62" s="153"/>
      <c r="K62" s="153"/>
      <c r="L62" s="153"/>
      <c r="M62" s="153"/>
      <c r="N62" s="153"/>
      <c r="O62" s="154"/>
      <c r="P62" s="80"/>
    </row>
    <row r="63" spans="2:16" ht="22.35" customHeight="1" x14ac:dyDescent="0.35">
      <c r="B63" s="144" t="s">
        <v>106</v>
      </c>
      <c r="C63" s="145"/>
      <c r="D63" s="145"/>
      <c r="E63" s="145"/>
      <c r="F63" s="145"/>
      <c r="G63" s="145"/>
      <c r="H63" s="145"/>
      <c r="I63" s="145"/>
      <c r="J63" s="145"/>
      <c r="K63" s="145"/>
      <c r="L63" s="145"/>
      <c r="M63" s="145"/>
      <c r="N63" s="145"/>
      <c r="O63" s="146"/>
      <c r="P63" s="80"/>
    </row>
    <row r="64" spans="2:16" ht="47.1" customHeight="1" x14ac:dyDescent="0.35">
      <c r="B64" s="36" t="s">
        <v>129</v>
      </c>
      <c r="C64" s="36">
        <v>0</v>
      </c>
      <c r="D64" s="36">
        <v>0</v>
      </c>
      <c r="E64" s="36">
        <v>0</v>
      </c>
      <c r="F64" s="37">
        <f>SUM(C64:E64)</f>
        <v>0</v>
      </c>
      <c r="G64" s="95">
        <v>274400</v>
      </c>
      <c r="H64" s="95">
        <v>164779.48717948719</v>
      </c>
      <c r="I64" s="95">
        <v>507510.125</v>
      </c>
      <c r="J64" s="89">
        <f t="shared" ref="J64:J102" si="16">SUM(G64:I64)</f>
        <v>946689.61217948725</v>
      </c>
      <c r="K64" s="45">
        <v>274400</v>
      </c>
      <c r="L64" s="45">
        <v>164779.48717948719</v>
      </c>
      <c r="M64" s="45">
        <v>507510.125</v>
      </c>
      <c r="N64" s="41">
        <f>SUM(K64:M64)</f>
        <v>946689.61217948725</v>
      </c>
      <c r="O64" s="41">
        <f t="shared" ref="O64:O126" si="17">F64+J64+N64</f>
        <v>1893379.2243589745</v>
      </c>
      <c r="P64" s="80"/>
    </row>
    <row r="65" spans="2:16" ht="25.5" customHeight="1" x14ac:dyDescent="0.35">
      <c r="B65" s="144" t="s">
        <v>112</v>
      </c>
      <c r="C65" s="145"/>
      <c r="D65" s="145"/>
      <c r="E65" s="145"/>
      <c r="F65" s="145"/>
      <c r="G65" s="145"/>
      <c r="H65" s="145"/>
      <c r="I65" s="145"/>
      <c r="J65" s="145"/>
      <c r="K65" s="145"/>
      <c r="L65" s="145"/>
      <c r="M65" s="145"/>
      <c r="N65" s="145"/>
      <c r="O65" s="146"/>
      <c r="P65" s="80"/>
    </row>
    <row r="66" spans="2:16" ht="43.5" customHeight="1" x14ac:dyDescent="0.35">
      <c r="B66" s="36" t="s">
        <v>130</v>
      </c>
      <c r="C66" s="36">
        <v>137520</v>
      </c>
      <c r="D66" s="36">
        <v>0</v>
      </c>
      <c r="E66" s="36">
        <v>618000</v>
      </c>
      <c r="F66" s="37">
        <f t="shared" ref="F66:F68" si="18">SUM(C66:E66)</f>
        <v>755520</v>
      </c>
      <c r="G66" s="95">
        <v>1000000</v>
      </c>
      <c r="H66" s="95">
        <v>1600000</v>
      </c>
      <c r="I66" s="95">
        <v>4000000</v>
      </c>
      <c r="J66" s="89">
        <f t="shared" si="16"/>
        <v>6600000</v>
      </c>
      <c r="K66" s="45">
        <v>1000000</v>
      </c>
      <c r="L66" s="45">
        <v>1600000</v>
      </c>
      <c r="M66" s="45">
        <v>4000000</v>
      </c>
      <c r="N66" s="41">
        <f t="shared" ref="N66:N67" si="19">SUM(K66:M66)</f>
        <v>6600000</v>
      </c>
      <c r="O66" s="41">
        <f t="shared" si="17"/>
        <v>13955520</v>
      </c>
      <c r="P66" s="80"/>
    </row>
    <row r="67" spans="2:16" ht="31.5" customHeight="1" x14ac:dyDescent="0.35">
      <c r="B67" s="36" t="s">
        <v>44</v>
      </c>
      <c r="C67" s="36">
        <v>37500</v>
      </c>
      <c r="D67" s="36">
        <v>0</v>
      </c>
      <c r="E67" s="36">
        <v>0</v>
      </c>
      <c r="F67" s="37">
        <f t="shared" si="18"/>
        <v>37500</v>
      </c>
      <c r="G67" s="95">
        <v>625000</v>
      </c>
      <c r="H67" s="95">
        <v>512820.51282051281</v>
      </c>
      <c r="I67" s="95">
        <v>500000</v>
      </c>
      <c r="J67" s="89">
        <f t="shared" si="16"/>
        <v>1637820.5128205128</v>
      </c>
      <c r="K67" s="45">
        <v>625000</v>
      </c>
      <c r="L67" s="45">
        <v>512820.51282051281</v>
      </c>
      <c r="M67" s="45">
        <v>500000</v>
      </c>
      <c r="N67" s="41">
        <f t="shared" si="19"/>
        <v>1637820.5128205128</v>
      </c>
      <c r="O67" s="41">
        <f t="shared" si="17"/>
        <v>3313141.0256410255</v>
      </c>
      <c r="P67" s="80"/>
    </row>
    <row r="68" spans="2:16" ht="27" customHeight="1" x14ac:dyDescent="0.35">
      <c r="B68" s="36" t="s">
        <v>45</v>
      </c>
      <c r="C68" s="36">
        <v>0</v>
      </c>
      <c r="D68" s="50">
        <v>0</v>
      </c>
      <c r="E68" s="36">
        <v>568900</v>
      </c>
      <c r="F68" s="37">
        <f t="shared" si="18"/>
        <v>568900</v>
      </c>
      <c r="G68" s="95">
        <v>850000</v>
      </c>
      <c r="H68" s="95">
        <v>430769.23076923075</v>
      </c>
      <c r="I68" s="95">
        <v>825000</v>
      </c>
      <c r="J68" s="89">
        <f t="shared" si="16"/>
        <v>2105769.230769231</v>
      </c>
      <c r="K68" s="45">
        <v>850000</v>
      </c>
      <c r="L68" s="45">
        <v>430769.23076923075</v>
      </c>
      <c r="M68" s="45">
        <v>825000</v>
      </c>
      <c r="N68" s="41">
        <f>SUM(K68:M68)</f>
        <v>2105769.230769231</v>
      </c>
      <c r="O68" s="41">
        <f t="shared" si="17"/>
        <v>4780438.461538462</v>
      </c>
      <c r="P68" s="80"/>
    </row>
    <row r="69" spans="2:16" ht="17.399999999999999" customHeight="1" x14ac:dyDescent="0.35">
      <c r="B69" s="30" t="s">
        <v>98</v>
      </c>
      <c r="C69" s="30">
        <f t="shared" ref="C69:F69" si="20">SUM(C64:C68)</f>
        <v>175020</v>
      </c>
      <c r="D69" s="30">
        <f t="shared" si="20"/>
        <v>0</v>
      </c>
      <c r="E69" s="30">
        <f t="shared" si="20"/>
        <v>1186900</v>
      </c>
      <c r="F69" s="30">
        <f t="shared" si="20"/>
        <v>1361920</v>
      </c>
      <c r="G69" s="100">
        <f>SUM(G64:G68)</f>
        <v>2749400</v>
      </c>
      <c r="H69" s="100">
        <f t="shared" ref="H69:O69" si="21">SUM(H64:H68)</f>
        <v>2708369.230769231</v>
      </c>
      <c r="I69" s="100">
        <f t="shared" si="21"/>
        <v>5832510.125</v>
      </c>
      <c r="J69" s="100">
        <f t="shared" si="21"/>
        <v>11290279.355769232</v>
      </c>
      <c r="K69" s="30">
        <f t="shared" si="21"/>
        <v>2749400</v>
      </c>
      <c r="L69" s="30">
        <f t="shared" si="21"/>
        <v>2708369.230769231</v>
      </c>
      <c r="M69" s="30">
        <f t="shared" si="21"/>
        <v>5832510.125</v>
      </c>
      <c r="N69" s="30">
        <f t="shared" si="21"/>
        <v>11290279.355769232</v>
      </c>
      <c r="O69" s="30">
        <f t="shared" si="21"/>
        <v>23942478.711538464</v>
      </c>
      <c r="P69" s="80"/>
    </row>
    <row r="70" spans="2:16" s="14" customFormat="1" ht="24" customHeight="1" x14ac:dyDescent="0.35">
      <c r="B70" s="155" t="s">
        <v>162</v>
      </c>
      <c r="C70" s="156"/>
      <c r="D70" s="156"/>
      <c r="E70" s="156"/>
      <c r="F70" s="156"/>
      <c r="G70" s="156"/>
      <c r="H70" s="156"/>
      <c r="I70" s="156"/>
      <c r="J70" s="156"/>
      <c r="K70" s="156"/>
      <c r="L70" s="156"/>
      <c r="M70" s="156"/>
      <c r="N70" s="156"/>
      <c r="O70" s="157"/>
      <c r="P70" s="80"/>
    </row>
    <row r="71" spans="2:16" ht="20.399999999999999" customHeight="1" x14ac:dyDescent="0.35">
      <c r="B71" s="144" t="s">
        <v>5</v>
      </c>
      <c r="C71" s="145"/>
      <c r="D71" s="145"/>
      <c r="E71" s="145"/>
      <c r="F71" s="145"/>
      <c r="G71" s="145"/>
      <c r="H71" s="145"/>
      <c r="I71" s="145"/>
      <c r="J71" s="145"/>
      <c r="K71" s="145"/>
      <c r="L71" s="145"/>
      <c r="M71" s="145"/>
      <c r="N71" s="145"/>
      <c r="O71" s="146"/>
      <c r="P71" s="80"/>
    </row>
    <row r="72" spans="2:16" ht="18" x14ac:dyDescent="0.35">
      <c r="B72" s="43" t="s">
        <v>46</v>
      </c>
      <c r="C72" s="43">
        <v>0</v>
      </c>
      <c r="D72" s="43">
        <v>0</v>
      </c>
      <c r="E72" s="43">
        <v>0</v>
      </c>
      <c r="F72" s="40">
        <f>SUM(C72:E72)</f>
        <v>0</v>
      </c>
      <c r="G72" s="95">
        <v>87500</v>
      </c>
      <c r="H72" s="95">
        <v>71794.871794871797</v>
      </c>
      <c r="I72" s="95">
        <v>103125</v>
      </c>
      <c r="J72" s="89">
        <f t="shared" si="16"/>
        <v>262419.87179487181</v>
      </c>
      <c r="K72" s="45">
        <v>87500</v>
      </c>
      <c r="L72" s="45">
        <v>71794.871794871797</v>
      </c>
      <c r="M72" s="45">
        <v>103125</v>
      </c>
      <c r="N72" s="41">
        <f>SUM(K72:M72)</f>
        <v>262419.87179487181</v>
      </c>
      <c r="O72" s="41">
        <f t="shared" si="17"/>
        <v>524839.74358974362</v>
      </c>
      <c r="P72" s="80"/>
    </row>
    <row r="73" spans="2:16" ht="18" x14ac:dyDescent="0.35">
      <c r="B73" s="43" t="s">
        <v>47</v>
      </c>
      <c r="C73" s="43">
        <v>0</v>
      </c>
      <c r="D73" s="43">
        <v>0</v>
      </c>
      <c r="E73" s="43">
        <v>0</v>
      </c>
      <c r="F73" s="40">
        <f t="shared" ref="F73:F86" si="22">SUM(C73:E73)</f>
        <v>0</v>
      </c>
      <c r="G73" s="95">
        <v>12500</v>
      </c>
      <c r="H73" s="95">
        <v>10256.410256410256</v>
      </c>
      <c r="I73" s="95">
        <v>25000</v>
      </c>
      <c r="J73" s="89">
        <f t="shared" si="16"/>
        <v>47756.410256410258</v>
      </c>
      <c r="K73" s="45">
        <v>12500</v>
      </c>
      <c r="L73" s="45">
        <v>10256.410256410256</v>
      </c>
      <c r="M73" s="45">
        <v>25000</v>
      </c>
      <c r="N73" s="41">
        <f t="shared" ref="N73:N86" si="23">SUM(K73:M73)</f>
        <v>47756.410256410258</v>
      </c>
      <c r="O73" s="41">
        <f t="shared" si="17"/>
        <v>95512.820512820515</v>
      </c>
      <c r="P73" s="80"/>
    </row>
    <row r="74" spans="2:16" ht="18" x14ac:dyDescent="0.35">
      <c r="B74" s="43" t="s">
        <v>48</v>
      </c>
      <c r="C74" s="43">
        <v>0</v>
      </c>
      <c r="D74" s="43">
        <v>0</v>
      </c>
      <c r="E74" s="43">
        <v>0</v>
      </c>
      <c r="F74" s="40">
        <f t="shared" si="22"/>
        <v>0</v>
      </c>
      <c r="G74" s="95">
        <v>180000</v>
      </c>
      <c r="H74" s="95">
        <v>147692.30769230769</v>
      </c>
      <c r="I74" s="95">
        <v>150000</v>
      </c>
      <c r="J74" s="89">
        <f t="shared" si="16"/>
        <v>477692.30769230769</v>
      </c>
      <c r="K74" s="45">
        <v>180000</v>
      </c>
      <c r="L74" s="45">
        <v>147692.30769230769</v>
      </c>
      <c r="M74" s="45">
        <v>150000</v>
      </c>
      <c r="N74" s="41">
        <f t="shared" si="23"/>
        <v>477692.30769230769</v>
      </c>
      <c r="O74" s="41">
        <f t="shared" si="17"/>
        <v>955384.61538461538</v>
      </c>
      <c r="P74" s="80"/>
    </row>
    <row r="75" spans="2:16" ht="18" x14ac:dyDescent="0.35">
      <c r="B75" s="43" t="s">
        <v>49</v>
      </c>
      <c r="C75" s="43">
        <v>0</v>
      </c>
      <c r="D75" s="43">
        <v>0</v>
      </c>
      <c r="E75" s="43">
        <v>0</v>
      </c>
      <c r="F75" s="40">
        <f t="shared" si="22"/>
        <v>0</v>
      </c>
      <c r="G75" s="95">
        <v>9000</v>
      </c>
      <c r="H75" s="95">
        <v>7384.6153846153848</v>
      </c>
      <c r="I75" s="95">
        <v>10000</v>
      </c>
      <c r="J75" s="89">
        <f t="shared" si="16"/>
        <v>26384.615384615383</v>
      </c>
      <c r="K75" s="45">
        <v>9000</v>
      </c>
      <c r="L75" s="45">
        <v>7384.6153846153848</v>
      </c>
      <c r="M75" s="45">
        <v>10000</v>
      </c>
      <c r="N75" s="41">
        <f t="shared" si="23"/>
        <v>26384.615384615383</v>
      </c>
      <c r="O75" s="41">
        <f t="shared" si="17"/>
        <v>52769.230769230766</v>
      </c>
      <c r="P75" s="80"/>
    </row>
    <row r="76" spans="2:16" ht="18" x14ac:dyDescent="0.35">
      <c r="B76" s="43" t="s">
        <v>50</v>
      </c>
      <c r="C76" s="43">
        <v>0</v>
      </c>
      <c r="D76" s="43">
        <v>0</v>
      </c>
      <c r="E76" s="43">
        <v>0</v>
      </c>
      <c r="F76" s="40">
        <f t="shared" si="22"/>
        <v>0</v>
      </c>
      <c r="G76" s="95">
        <v>13750</v>
      </c>
      <c r="H76" s="95">
        <v>11282.051282051281</v>
      </c>
      <c r="I76" s="95">
        <v>18750</v>
      </c>
      <c r="J76" s="89">
        <f t="shared" si="16"/>
        <v>43782.051282051281</v>
      </c>
      <c r="K76" s="45">
        <v>13750</v>
      </c>
      <c r="L76" s="45">
        <v>11282.051282051281</v>
      </c>
      <c r="M76" s="45">
        <v>18750</v>
      </c>
      <c r="N76" s="41">
        <f t="shared" si="23"/>
        <v>43782.051282051281</v>
      </c>
      <c r="O76" s="41">
        <f t="shared" si="17"/>
        <v>87564.102564102563</v>
      </c>
      <c r="P76" s="80"/>
    </row>
    <row r="77" spans="2:16" ht="18" x14ac:dyDescent="0.35">
      <c r="B77" s="43" t="s">
        <v>51</v>
      </c>
      <c r="C77" s="43">
        <v>0</v>
      </c>
      <c r="D77" s="43">
        <v>0</v>
      </c>
      <c r="E77" s="43">
        <v>0</v>
      </c>
      <c r="F77" s="40">
        <f t="shared" si="22"/>
        <v>0</v>
      </c>
      <c r="G77" s="95">
        <v>18000</v>
      </c>
      <c r="H77" s="95">
        <v>14769.23076923077</v>
      </c>
      <c r="I77" s="95">
        <v>20000</v>
      </c>
      <c r="J77" s="89">
        <f t="shared" si="16"/>
        <v>52769.230769230766</v>
      </c>
      <c r="K77" s="45">
        <v>18000</v>
      </c>
      <c r="L77" s="45">
        <v>14769.23076923077</v>
      </c>
      <c r="M77" s="45">
        <v>20000</v>
      </c>
      <c r="N77" s="41">
        <f t="shared" si="23"/>
        <v>52769.230769230766</v>
      </c>
      <c r="O77" s="41">
        <f t="shared" si="17"/>
        <v>105538.46153846153</v>
      </c>
      <c r="P77" s="80"/>
    </row>
    <row r="78" spans="2:16" ht="18" x14ac:dyDescent="0.35">
      <c r="B78" s="43" t="s">
        <v>52</v>
      </c>
      <c r="C78" s="43"/>
      <c r="D78" s="43">
        <v>0</v>
      </c>
      <c r="E78" s="43">
        <v>0</v>
      </c>
      <c r="F78" s="40">
        <f t="shared" si="22"/>
        <v>0</v>
      </c>
      <c r="G78" s="95">
        <v>25000</v>
      </c>
      <c r="H78" s="95">
        <v>61538.461538461539</v>
      </c>
      <c r="I78" s="95">
        <v>250000</v>
      </c>
      <c r="J78" s="89">
        <f t="shared" si="16"/>
        <v>336538.4615384615</v>
      </c>
      <c r="K78" s="45">
        <v>25000</v>
      </c>
      <c r="L78" s="45">
        <v>61538.461538461539</v>
      </c>
      <c r="M78" s="45">
        <v>250000</v>
      </c>
      <c r="N78" s="41">
        <f t="shared" si="23"/>
        <v>336538.4615384615</v>
      </c>
      <c r="O78" s="41">
        <f t="shared" si="17"/>
        <v>673076.92307692301</v>
      </c>
      <c r="P78" s="80"/>
    </row>
    <row r="79" spans="2:16" ht="19.350000000000001" customHeight="1" x14ac:dyDescent="0.35">
      <c r="B79" s="144" t="s">
        <v>112</v>
      </c>
      <c r="C79" s="145"/>
      <c r="D79" s="145"/>
      <c r="E79" s="145"/>
      <c r="F79" s="145"/>
      <c r="G79" s="145"/>
      <c r="H79" s="145"/>
      <c r="I79" s="145"/>
      <c r="J79" s="145"/>
      <c r="K79" s="145"/>
      <c r="L79" s="145"/>
      <c r="M79" s="145"/>
      <c r="N79" s="145"/>
      <c r="O79" s="146"/>
      <c r="P79" s="80"/>
    </row>
    <row r="80" spans="2:16" ht="18" x14ac:dyDescent="0.35">
      <c r="B80" s="43" t="s">
        <v>53</v>
      </c>
      <c r="C80" s="43">
        <v>0</v>
      </c>
      <c r="D80" s="43">
        <v>0</v>
      </c>
      <c r="E80" s="43">
        <v>0</v>
      </c>
      <c r="F80" s="40">
        <f t="shared" si="22"/>
        <v>0</v>
      </c>
      <c r="G80" s="95">
        <v>250000</v>
      </c>
      <c r="H80" s="95">
        <v>153846.15384615384</v>
      </c>
      <c r="I80" s="95">
        <v>187500</v>
      </c>
      <c r="J80" s="89">
        <f t="shared" si="16"/>
        <v>591346.15384615387</v>
      </c>
      <c r="K80" s="45">
        <v>250000</v>
      </c>
      <c r="L80" s="45">
        <v>153846.15384615384</v>
      </c>
      <c r="M80" s="45">
        <v>187500</v>
      </c>
      <c r="N80" s="41">
        <f t="shared" si="23"/>
        <v>591346.15384615387</v>
      </c>
      <c r="O80" s="41">
        <f t="shared" si="17"/>
        <v>1182692.3076923077</v>
      </c>
      <c r="P80" s="80"/>
    </row>
    <row r="81" spans="2:16" ht="18" x14ac:dyDescent="0.35">
      <c r="B81" s="36" t="s">
        <v>54</v>
      </c>
      <c r="C81" s="36">
        <v>50000</v>
      </c>
      <c r="D81" s="36">
        <v>0</v>
      </c>
      <c r="E81" s="36">
        <v>0</v>
      </c>
      <c r="F81" s="40">
        <f t="shared" si="22"/>
        <v>50000</v>
      </c>
      <c r="G81" s="95">
        <v>150000</v>
      </c>
      <c r="H81" s="95">
        <v>184615.3846153846</v>
      </c>
      <c r="I81" s="95">
        <v>225000</v>
      </c>
      <c r="J81" s="89">
        <f t="shared" si="16"/>
        <v>559615.38461538462</v>
      </c>
      <c r="K81" s="45">
        <v>150000</v>
      </c>
      <c r="L81" s="45">
        <v>184615.3846153846</v>
      </c>
      <c r="M81" s="45">
        <v>225000</v>
      </c>
      <c r="N81" s="41">
        <f t="shared" si="23"/>
        <v>559615.38461538462</v>
      </c>
      <c r="O81" s="41">
        <f t="shared" si="17"/>
        <v>1169230.7692307692</v>
      </c>
      <c r="P81" s="80"/>
    </row>
    <row r="82" spans="2:16" ht="18" x14ac:dyDescent="0.35">
      <c r="B82" s="36" t="s">
        <v>55</v>
      </c>
      <c r="C82" s="36">
        <v>115740</v>
      </c>
      <c r="D82" s="36">
        <f>374890+26730+99944</f>
        <v>501564</v>
      </c>
      <c r="E82" s="36">
        <v>100000</v>
      </c>
      <c r="F82" s="40">
        <f t="shared" si="22"/>
        <v>717304</v>
      </c>
      <c r="G82" s="95">
        <v>0</v>
      </c>
      <c r="H82" s="95">
        <v>0</v>
      </c>
      <c r="I82" s="95">
        <v>0</v>
      </c>
      <c r="J82" s="89">
        <f t="shared" si="16"/>
        <v>0</v>
      </c>
      <c r="K82" s="45">
        <v>0</v>
      </c>
      <c r="L82" s="45">
        <v>0</v>
      </c>
      <c r="M82" s="45">
        <v>0</v>
      </c>
      <c r="N82" s="41">
        <f t="shared" si="23"/>
        <v>0</v>
      </c>
      <c r="O82" s="41">
        <f t="shared" si="17"/>
        <v>717304</v>
      </c>
      <c r="P82" s="80"/>
    </row>
    <row r="83" spans="2:16" ht="18" x14ac:dyDescent="0.35">
      <c r="B83" s="36" t="s">
        <v>56</v>
      </c>
      <c r="C83" s="36">
        <v>0</v>
      </c>
      <c r="D83" s="36">
        <v>0</v>
      </c>
      <c r="E83" s="36">
        <v>0</v>
      </c>
      <c r="F83" s="40">
        <f t="shared" si="22"/>
        <v>0</v>
      </c>
      <c r="G83" s="95">
        <v>180000</v>
      </c>
      <c r="H83" s="95">
        <v>295384.61538461538</v>
      </c>
      <c r="I83" s="95">
        <v>360000</v>
      </c>
      <c r="J83" s="89">
        <f t="shared" si="16"/>
        <v>835384.61538461538</v>
      </c>
      <c r="K83" s="45">
        <v>180000</v>
      </c>
      <c r="L83" s="45">
        <v>295384.61538461538</v>
      </c>
      <c r="M83" s="45">
        <v>360000</v>
      </c>
      <c r="N83" s="41">
        <f t="shared" si="23"/>
        <v>835384.61538461538</v>
      </c>
      <c r="O83" s="41">
        <f t="shared" si="17"/>
        <v>1670769.2307692308</v>
      </c>
      <c r="P83" s="80"/>
    </row>
    <row r="84" spans="2:16" ht="18" x14ac:dyDescent="0.35">
      <c r="B84" s="36" t="s">
        <v>57</v>
      </c>
      <c r="C84" s="36">
        <v>42840</v>
      </c>
      <c r="D84" s="36">
        <v>205556</v>
      </c>
      <c r="E84" s="36">
        <v>0</v>
      </c>
      <c r="F84" s="40">
        <f t="shared" si="22"/>
        <v>248396</v>
      </c>
      <c r="G84" s="95">
        <v>4312500</v>
      </c>
      <c r="H84" s="95">
        <v>2830769.2307692305</v>
      </c>
      <c r="I84" s="95">
        <v>3450000</v>
      </c>
      <c r="J84" s="89">
        <f t="shared" si="16"/>
        <v>10593269.23076923</v>
      </c>
      <c r="K84" s="45">
        <v>4312500</v>
      </c>
      <c r="L84" s="45">
        <v>2830769.2307692305</v>
      </c>
      <c r="M84" s="45">
        <v>3450000</v>
      </c>
      <c r="N84" s="41">
        <f t="shared" si="23"/>
        <v>10593269.23076923</v>
      </c>
      <c r="O84" s="41">
        <f t="shared" si="17"/>
        <v>21434934.46153846</v>
      </c>
      <c r="P84" s="80"/>
    </row>
    <row r="85" spans="2:16" ht="18" x14ac:dyDescent="0.35">
      <c r="B85" s="36" t="s">
        <v>58</v>
      </c>
      <c r="C85" s="36">
        <v>0</v>
      </c>
      <c r="D85" s="36">
        <v>18148</v>
      </c>
      <c r="E85" s="36">
        <v>0</v>
      </c>
      <c r="F85" s="40">
        <f t="shared" si="22"/>
        <v>18148</v>
      </c>
      <c r="G85" s="95">
        <v>960000</v>
      </c>
      <c r="H85" s="95">
        <v>590769.23076923075</v>
      </c>
      <c r="I85" s="95">
        <v>720000</v>
      </c>
      <c r="J85" s="89">
        <f t="shared" si="16"/>
        <v>2270769.230769231</v>
      </c>
      <c r="K85" s="45">
        <v>960000</v>
      </c>
      <c r="L85" s="45">
        <v>590769.23076923075</v>
      </c>
      <c r="M85" s="45">
        <v>720000</v>
      </c>
      <c r="N85" s="41">
        <f t="shared" si="23"/>
        <v>2270769.230769231</v>
      </c>
      <c r="O85" s="41">
        <f t="shared" si="17"/>
        <v>4559686.461538462</v>
      </c>
      <c r="P85" s="80"/>
    </row>
    <row r="86" spans="2:16" ht="18" x14ac:dyDescent="0.35">
      <c r="B86" s="36" t="s">
        <v>59</v>
      </c>
      <c r="C86" s="36">
        <v>0</v>
      </c>
      <c r="D86" s="36">
        <v>0</v>
      </c>
      <c r="E86" s="36">
        <v>0</v>
      </c>
      <c r="F86" s="40">
        <f t="shared" si="22"/>
        <v>0</v>
      </c>
      <c r="G86" s="95">
        <v>25000</v>
      </c>
      <c r="H86" s="95">
        <v>51282.051282051281</v>
      </c>
      <c r="I86" s="95">
        <v>125000</v>
      </c>
      <c r="J86" s="89">
        <f t="shared" si="16"/>
        <v>201282.05128205128</v>
      </c>
      <c r="K86" s="45">
        <v>25000</v>
      </c>
      <c r="L86" s="45">
        <v>51282.051282051281</v>
      </c>
      <c r="M86" s="45">
        <v>125000</v>
      </c>
      <c r="N86" s="41">
        <f t="shared" si="23"/>
        <v>201282.05128205128</v>
      </c>
      <c r="O86" s="41">
        <f t="shared" si="17"/>
        <v>402564.10256410256</v>
      </c>
      <c r="P86" s="80"/>
    </row>
    <row r="87" spans="2:16" ht="18.899999999999999" customHeight="1" x14ac:dyDescent="0.35">
      <c r="B87" s="30" t="s">
        <v>98</v>
      </c>
      <c r="C87" s="33">
        <f t="shared" ref="C87:J87" si="24">SUM(C72:C86)</f>
        <v>208580</v>
      </c>
      <c r="D87" s="33">
        <f t="shared" si="24"/>
        <v>725268</v>
      </c>
      <c r="E87" s="33">
        <f t="shared" si="24"/>
        <v>100000</v>
      </c>
      <c r="F87" s="33">
        <f t="shared" si="24"/>
        <v>1033848</v>
      </c>
      <c r="G87" s="101">
        <f t="shared" si="24"/>
        <v>6223250</v>
      </c>
      <c r="H87" s="101">
        <f t="shared" si="24"/>
        <v>4431384.615384615</v>
      </c>
      <c r="I87" s="101">
        <f t="shared" si="24"/>
        <v>5644375</v>
      </c>
      <c r="J87" s="101">
        <f t="shared" si="24"/>
        <v>16299009.615384616</v>
      </c>
      <c r="K87" s="33">
        <f>SUM(K72:K86)</f>
        <v>6223250</v>
      </c>
      <c r="L87" s="33">
        <f>SUM(L72:L86)</f>
        <v>4431384.615384615</v>
      </c>
      <c r="M87" s="33">
        <f>SUM(M72:M86)</f>
        <v>5644375</v>
      </c>
      <c r="N87" s="33">
        <f>SUM(N72:N86)</f>
        <v>16299009.615384616</v>
      </c>
      <c r="O87" s="33">
        <f>SUM(O72:O86)</f>
        <v>33631867.230769232</v>
      </c>
      <c r="P87" s="80"/>
    </row>
    <row r="88" spans="2:16" ht="24.6" customHeight="1" x14ac:dyDescent="0.35">
      <c r="B88" s="141" t="s">
        <v>163</v>
      </c>
      <c r="C88" s="153"/>
      <c r="D88" s="153"/>
      <c r="E88" s="153"/>
      <c r="F88" s="153"/>
      <c r="G88" s="153"/>
      <c r="H88" s="153"/>
      <c r="I88" s="153"/>
      <c r="J88" s="153"/>
      <c r="K88" s="153"/>
      <c r="L88" s="153"/>
      <c r="M88" s="153"/>
      <c r="N88" s="153"/>
      <c r="O88" s="154"/>
      <c r="P88" s="80"/>
    </row>
    <row r="89" spans="2:16" ht="18.600000000000001" customHeight="1" x14ac:dyDescent="0.35">
      <c r="B89" s="144" t="s">
        <v>112</v>
      </c>
      <c r="C89" s="145"/>
      <c r="D89" s="145"/>
      <c r="E89" s="145"/>
      <c r="F89" s="145"/>
      <c r="G89" s="145"/>
      <c r="H89" s="145"/>
      <c r="I89" s="145"/>
      <c r="J89" s="145"/>
      <c r="K89" s="145"/>
      <c r="L89" s="145"/>
      <c r="M89" s="145"/>
      <c r="N89" s="145"/>
      <c r="O89" s="146"/>
      <c r="P89" s="80"/>
    </row>
    <row r="90" spans="2:16" ht="18" x14ac:dyDescent="0.35">
      <c r="B90" s="36" t="s">
        <v>60</v>
      </c>
      <c r="C90" s="36">
        <v>0</v>
      </c>
      <c r="D90" s="36">
        <v>0</v>
      </c>
      <c r="E90" s="36">
        <v>0</v>
      </c>
      <c r="F90" s="37">
        <f t="shared" ref="F90:F91" si="25">SUM(C90:E90)</f>
        <v>0</v>
      </c>
      <c r="G90" s="95">
        <v>48075</v>
      </c>
      <c r="H90" s="95">
        <v>78892.307692307688</v>
      </c>
      <c r="I90" s="95">
        <v>108168.75</v>
      </c>
      <c r="J90" s="89">
        <f t="shared" si="16"/>
        <v>235136.05769230769</v>
      </c>
      <c r="K90" s="45">
        <v>48075</v>
      </c>
      <c r="L90" s="45">
        <v>78892.307692307688</v>
      </c>
      <c r="M90" s="45">
        <v>108168.75</v>
      </c>
      <c r="N90" s="41">
        <f>SUM(K90:M90)</f>
        <v>235136.05769230769</v>
      </c>
      <c r="O90" s="41">
        <f t="shared" si="17"/>
        <v>470272.11538461538</v>
      </c>
      <c r="P90" s="80"/>
    </row>
    <row r="91" spans="2:16" ht="25.5" customHeight="1" x14ac:dyDescent="0.35">
      <c r="B91" s="36" t="s">
        <v>61</v>
      </c>
      <c r="C91" s="36">
        <v>0</v>
      </c>
      <c r="D91" s="36">
        <v>0</v>
      </c>
      <c r="E91" s="36">
        <v>0</v>
      </c>
      <c r="F91" s="37">
        <f t="shared" si="25"/>
        <v>0</v>
      </c>
      <c r="G91" s="95">
        <v>191250</v>
      </c>
      <c r="H91" s="95">
        <v>259532.92307692306</v>
      </c>
      <c r="I91" s="95">
        <v>382500</v>
      </c>
      <c r="J91" s="89">
        <f t="shared" si="16"/>
        <v>833282.92307692301</v>
      </c>
      <c r="K91" s="45">
        <v>191250</v>
      </c>
      <c r="L91" s="45">
        <v>259532.92307692306</v>
      </c>
      <c r="M91" s="45">
        <v>382500</v>
      </c>
      <c r="N91" s="41">
        <f>SUM(K91:M91)</f>
        <v>833282.92307692301</v>
      </c>
      <c r="O91" s="41">
        <f t="shared" si="17"/>
        <v>1666565.846153846</v>
      </c>
      <c r="P91" s="80"/>
    </row>
    <row r="92" spans="2:16" ht="18" x14ac:dyDescent="0.35">
      <c r="B92" s="30" t="s">
        <v>98</v>
      </c>
      <c r="C92" s="30">
        <f>SUM(C90:C91)</f>
        <v>0</v>
      </c>
      <c r="D92" s="30">
        <f t="shared" ref="D92:O92" si="26">SUM(D90:D91)</f>
        <v>0</v>
      </c>
      <c r="E92" s="30">
        <f t="shared" si="26"/>
        <v>0</v>
      </c>
      <c r="F92" s="30">
        <f t="shared" si="26"/>
        <v>0</v>
      </c>
      <c r="G92" s="100">
        <f t="shared" si="26"/>
        <v>239325</v>
      </c>
      <c r="H92" s="100">
        <f t="shared" si="26"/>
        <v>338425.23076923075</v>
      </c>
      <c r="I92" s="100">
        <f t="shared" si="26"/>
        <v>490668.75</v>
      </c>
      <c r="J92" s="100">
        <f t="shared" si="26"/>
        <v>1068418.9807692308</v>
      </c>
      <c r="K92" s="30">
        <f t="shared" si="26"/>
        <v>239325</v>
      </c>
      <c r="L92" s="30">
        <f t="shared" si="26"/>
        <v>338425.23076923075</v>
      </c>
      <c r="M92" s="30">
        <f t="shared" si="26"/>
        <v>490668.75</v>
      </c>
      <c r="N92" s="30">
        <f t="shared" si="26"/>
        <v>1068418.9807692308</v>
      </c>
      <c r="O92" s="30">
        <f t="shared" si="26"/>
        <v>2136837.9615384615</v>
      </c>
      <c r="P92" s="80"/>
    </row>
    <row r="93" spans="2:16" ht="23.4" customHeight="1" thickBot="1" x14ac:dyDescent="0.4">
      <c r="B93" s="61" t="s">
        <v>91</v>
      </c>
      <c r="C93" s="61">
        <f>C92+C87+C69+C61</f>
        <v>433700</v>
      </c>
      <c r="D93" s="61">
        <f t="shared" ref="D93:O93" si="27">D92+D87+D69+D61</f>
        <v>970515</v>
      </c>
      <c r="E93" s="61">
        <f t="shared" si="27"/>
        <v>1492900</v>
      </c>
      <c r="F93" s="61">
        <f t="shared" si="27"/>
        <v>2897115</v>
      </c>
      <c r="G93" s="98">
        <f t="shared" si="27"/>
        <v>9211975</v>
      </c>
      <c r="H93" s="98">
        <f t="shared" si="27"/>
        <v>10083440.615384614</v>
      </c>
      <c r="I93" s="98">
        <f t="shared" si="27"/>
        <v>16289878.875</v>
      </c>
      <c r="J93" s="98">
        <f t="shared" si="27"/>
        <v>35585294.490384616</v>
      </c>
      <c r="K93" s="61">
        <f t="shared" si="27"/>
        <v>9211975</v>
      </c>
      <c r="L93" s="61">
        <f t="shared" si="27"/>
        <v>10083440.615384614</v>
      </c>
      <c r="M93" s="61">
        <f t="shared" si="27"/>
        <v>16289878.875</v>
      </c>
      <c r="N93" s="61">
        <f t="shared" si="27"/>
        <v>35585294.490384616</v>
      </c>
      <c r="O93" s="61">
        <f t="shared" si="27"/>
        <v>74067703.980769232</v>
      </c>
      <c r="P93" s="80"/>
    </row>
    <row r="94" spans="2:16" ht="26.1" customHeight="1" thickTop="1" thickBot="1" x14ac:dyDescent="0.4">
      <c r="B94" s="147" t="s">
        <v>107</v>
      </c>
      <c r="C94" s="148"/>
      <c r="D94" s="148"/>
      <c r="E94" s="148"/>
      <c r="F94" s="148"/>
      <c r="G94" s="148"/>
      <c r="H94" s="148"/>
      <c r="I94" s="148"/>
      <c r="J94" s="148"/>
      <c r="K94" s="148"/>
      <c r="L94" s="148"/>
      <c r="M94" s="148"/>
      <c r="N94" s="148"/>
      <c r="O94" s="149"/>
      <c r="P94" s="80"/>
    </row>
    <row r="95" spans="2:16" ht="18.600000000000001" customHeight="1" thickTop="1" x14ac:dyDescent="0.35">
      <c r="B95" s="150" t="s">
        <v>108</v>
      </c>
      <c r="C95" s="151"/>
      <c r="D95" s="151"/>
      <c r="E95" s="151"/>
      <c r="F95" s="151"/>
      <c r="G95" s="151"/>
      <c r="H95" s="151"/>
      <c r="I95" s="151"/>
      <c r="J95" s="151"/>
      <c r="K95" s="151"/>
      <c r="L95" s="151"/>
      <c r="M95" s="151"/>
      <c r="N95" s="151"/>
      <c r="O95" s="152"/>
      <c r="P95" s="80"/>
    </row>
    <row r="96" spans="2:16" ht="15.6" customHeight="1" x14ac:dyDescent="0.35">
      <c r="B96" s="138" t="s">
        <v>5</v>
      </c>
      <c r="C96" s="139"/>
      <c r="D96" s="139"/>
      <c r="E96" s="139"/>
      <c r="F96" s="139"/>
      <c r="G96" s="139"/>
      <c r="H96" s="139"/>
      <c r="I96" s="139"/>
      <c r="J96" s="139"/>
      <c r="K96" s="139"/>
      <c r="L96" s="139"/>
      <c r="M96" s="139"/>
      <c r="N96" s="139"/>
      <c r="O96" s="140"/>
      <c r="P96" s="80"/>
    </row>
    <row r="97" spans="2:16" ht="17.399999999999999" customHeight="1" x14ac:dyDescent="0.35">
      <c r="B97" s="10" t="s">
        <v>131</v>
      </c>
      <c r="C97" s="36">
        <v>0</v>
      </c>
      <c r="D97" s="36">
        <v>5000</v>
      </c>
      <c r="E97" s="36">
        <v>200000</v>
      </c>
      <c r="F97" s="37">
        <f>SUM(C97:E97)</f>
        <v>205000</v>
      </c>
      <c r="G97" s="95">
        <v>65000</v>
      </c>
      <c r="H97" s="95">
        <v>143589.74358974359</v>
      </c>
      <c r="I97" s="95">
        <v>175000</v>
      </c>
      <c r="J97" s="89">
        <f t="shared" si="16"/>
        <v>383589.74358974362</v>
      </c>
      <c r="K97" s="45">
        <v>65000</v>
      </c>
      <c r="L97" s="45">
        <v>143589.74358974359</v>
      </c>
      <c r="M97" s="45">
        <v>175000</v>
      </c>
      <c r="N97" s="41">
        <f>SUM(K97:M97)</f>
        <v>383589.74358974362</v>
      </c>
      <c r="O97" s="41">
        <f t="shared" si="17"/>
        <v>972179.48717948725</v>
      </c>
      <c r="P97" s="80"/>
    </row>
    <row r="98" spans="2:16" ht="18.600000000000001" customHeight="1" x14ac:dyDescent="0.35">
      <c r="B98" s="10" t="s">
        <v>16</v>
      </c>
      <c r="C98" s="36">
        <v>0</v>
      </c>
      <c r="D98" s="36">
        <v>0</v>
      </c>
      <c r="E98" s="36"/>
      <c r="F98" s="37">
        <f t="shared" ref="F98:F104" si="28">SUM(C98:E98)</f>
        <v>0</v>
      </c>
      <c r="G98" s="95">
        <v>37500</v>
      </c>
      <c r="H98" s="95">
        <v>30769.23076923077</v>
      </c>
      <c r="I98" s="95">
        <v>37500</v>
      </c>
      <c r="J98" s="89">
        <f t="shared" si="16"/>
        <v>105769.23076923077</v>
      </c>
      <c r="K98" s="45">
        <v>37500</v>
      </c>
      <c r="L98" s="45">
        <v>30769.23076923077</v>
      </c>
      <c r="M98" s="45">
        <v>37500</v>
      </c>
      <c r="N98" s="41">
        <f t="shared" ref="N98:N99" si="29">SUM(K98:M98)</f>
        <v>105769.23076923077</v>
      </c>
      <c r="O98" s="41">
        <f t="shared" si="17"/>
        <v>211538.46153846153</v>
      </c>
      <c r="P98" s="80"/>
    </row>
    <row r="99" spans="2:16" ht="39.9" customHeight="1" x14ac:dyDescent="0.35">
      <c r="B99" s="10" t="s">
        <v>17</v>
      </c>
      <c r="C99" s="36">
        <v>10000</v>
      </c>
      <c r="D99" s="36">
        <f>20000+933</f>
        <v>20933</v>
      </c>
      <c r="E99" s="36">
        <v>283000</v>
      </c>
      <c r="F99" s="37">
        <f t="shared" si="28"/>
        <v>313933</v>
      </c>
      <c r="G99" s="95">
        <v>25000</v>
      </c>
      <c r="H99" s="95">
        <v>15384.615384615385</v>
      </c>
      <c r="I99" s="95">
        <v>18750</v>
      </c>
      <c r="J99" s="89">
        <f t="shared" si="16"/>
        <v>59134.615384615383</v>
      </c>
      <c r="K99" s="45">
        <v>25000</v>
      </c>
      <c r="L99" s="45">
        <v>15384.615384615385</v>
      </c>
      <c r="M99" s="45">
        <v>18750</v>
      </c>
      <c r="N99" s="41">
        <f t="shared" si="29"/>
        <v>59134.615384615383</v>
      </c>
      <c r="O99" s="41">
        <f t="shared" si="17"/>
        <v>432202.23076923075</v>
      </c>
      <c r="P99" s="80"/>
    </row>
    <row r="100" spans="2:16" ht="20.399999999999999" customHeight="1" x14ac:dyDescent="0.35">
      <c r="B100" s="138" t="s">
        <v>112</v>
      </c>
      <c r="C100" s="139"/>
      <c r="D100" s="139"/>
      <c r="E100" s="139"/>
      <c r="F100" s="139"/>
      <c r="G100" s="139"/>
      <c r="H100" s="139"/>
      <c r="I100" s="139"/>
      <c r="J100" s="139"/>
      <c r="K100" s="139"/>
      <c r="L100" s="139"/>
      <c r="M100" s="139"/>
      <c r="N100" s="139"/>
      <c r="O100" s="140"/>
      <c r="P100" s="80"/>
    </row>
    <row r="101" spans="2:16" ht="23.4" customHeight="1" x14ac:dyDescent="0.35">
      <c r="B101" s="10" t="s">
        <v>18</v>
      </c>
      <c r="C101" s="36">
        <v>20850</v>
      </c>
      <c r="D101" s="36">
        <v>3704</v>
      </c>
      <c r="E101" s="36"/>
      <c r="F101" s="37">
        <f t="shared" si="28"/>
        <v>24554</v>
      </c>
      <c r="G101" s="95">
        <v>12500</v>
      </c>
      <c r="H101" s="95">
        <v>10256.410256410256</v>
      </c>
      <c r="I101" s="95">
        <v>12500</v>
      </c>
      <c r="J101" s="89">
        <f t="shared" si="16"/>
        <v>35256.410256410258</v>
      </c>
      <c r="K101" s="45">
        <v>12500</v>
      </c>
      <c r="L101" s="45">
        <v>10256.410256410256</v>
      </c>
      <c r="M101" s="45">
        <v>12500</v>
      </c>
      <c r="N101" s="41">
        <f>SUM(K101:M101)</f>
        <v>35256.410256410258</v>
      </c>
      <c r="O101" s="41">
        <f t="shared" si="17"/>
        <v>95066.820512820515</v>
      </c>
      <c r="P101" s="80"/>
    </row>
    <row r="102" spans="2:16" ht="27.9" customHeight="1" x14ac:dyDescent="0.35">
      <c r="B102" s="10" t="s">
        <v>19</v>
      </c>
      <c r="C102" s="36">
        <f>17100+14700</f>
        <v>31800</v>
      </c>
      <c r="D102" s="36">
        <f>16666+17408+24000+170000+50000</f>
        <v>278074</v>
      </c>
      <c r="E102" s="36">
        <f>60000</f>
        <v>60000</v>
      </c>
      <c r="F102" s="37">
        <f t="shared" si="28"/>
        <v>369874</v>
      </c>
      <c r="G102" s="95">
        <v>25000</v>
      </c>
      <c r="H102" s="95">
        <v>20512.820512820512</v>
      </c>
      <c r="I102" s="95">
        <v>25000</v>
      </c>
      <c r="J102" s="89">
        <f t="shared" si="16"/>
        <v>70512.820512820515</v>
      </c>
      <c r="K102" s="45">
        <v>25000</v>
      </c>
      <c r="L102" s="45">
        <v>20512.820512820512</v>
      </c>
      <c r="M102" s="45">
        <v>25000</v>
      </c>
      <c r="N102" s="41">
        <f t="shared" ref="N102:N103" si="30">SUM(K102:M102)</f>
        <v>70512.820512820515</v>
      </c>
      <c r="O102" s="41">
        <f t="shared" si="17"/>
        <v>510899.641025641</v>
      </c>
      <c r="P102" s="80"/>
    </row>
    <row r="103" spans="2:16" ht="26.1" customHeight="1" x14ac:dyDescent="0.35">
      <c r="B103" s="10" t="s">
        <v>20</v>
      </c>
      <c r="C103" s="36">
        <v>159590</v>
      </c>
      <c r="D103" s="36">
        <f>149386+3704+340762.56+301476+13360</f>
        <v>808688.56</v>
      </c>
      <c r="E103" s="36">
        <f>86625+503300</f>
        <v>589925</v>
      </c>
      <c r="F103" s="37">
        <f t="shared" si="28"/>
        <v>1558203.56</v>
      </c>
      <c r="G103" s="95">
        <v>74550</v>
      </c>
      <c r="H103" s="95">
        <v>2660861.5384615385</v>
      </c>
      <c r="I103" s="95">
        <v>4413350</v>
      </c>
      <c r="J103" s="89">
        <f t="shared" ref="J103:J126" si="31">SUM(G103:I103)</f>
        <v>7148761.538461538</v>
      </c>
      <c r="K103" s="45">
        <v>74550</v>
      </c>
      <c r="L103" s="45">
        <v>2660861.5384615385</v>
      </c>
      <c r="M103" s="45">
        <v>4413350</v>
      </c>
      <c r="N103" s="41">
        <f t="shared" si="30"/>
        <v>7148761.538461538</v>
      </c>
      <c r="O103" s="41">
        <f t="shared" si="17"/>
        <v>15855726.636923077</v>
      </c>
      <c r="P103" s="80"/>
    </row>
    <row r="104" spans="2:16" ht="24" x14ac:dyDescent="0.35">
      <c r="B104" s="10" t="s">
        <v>21</v>
      </c>
      <c r="C104" s="36">
        <v>92500</v>
      </c>
      <c r="D104" s="36">
        <v>0</v>
      </c>
      <c r="E104" s="36">
        <v>360900</v>
      </c>
      <c r="F104" s="37">
        <f t="shared" si="28"/>
        <v>453400</v>
      </c>
      <c r="G104" s="95">
        <v>0</v>
      </c>
      <c r="H104" s="95">
        <v>0</v>
      </c>
      <c r="I104" s="95">
        <v>0</v>
      </c>
      <c r="J104" s="89">
        <v>0</v>
      </c>
      <c r="K104" s="45">
        <v>0</v>
      </c>
      <c r="L104" s="45">
        <v>0</v>
      </c>
      <c r="M104" s="45">
        <v>0</v>
      </c>
      <c r="N104" s="41">
        <v>0</v>
      </c>
      <c r="O104" s="41">
        <f t="shared" si="17"/>
        <v>453400</v>
      </c>
      <c r="P104" s="80"/>
    </row>
    <row r="105" spans="2:16" ht="24.6" customHeight="1" x14ac:dyDescent="0.35">
      <c r="B105" s="30" t="s">
        <v>98</v>
      </c>
      <c r="C105" s="30">
        <f t="shared" ref="C105:O105" si="32">SUM(C97:C104)</f>
        <v>314740</v>
      </c>
      <c r="D105" s="30">
        <f t="shared" si="32"/>
        <v>1116399.56</v>
      </c>
      <c r="E105" s="30">
        <f t="shared" si="32"/>
        <v>1493825</v>
      </c>
      <c r="F105" s="30">
        <f t="shared" si="32"/>
        <v>2924964.56</v>
      </c>
      <c r="G105" s="100">
        <f t="shared" si="32"/>
        <v>239550</v>
      </c>
      <c r="H105" s="100">
        <f t="shared" si="32"/>
        <v>2881374.358974359</v>
      </c>
      <c r="I105" s="100">
        <f t="shared" si="32"/>
        <v>4682100</v>
      </c>
      <c r="J105" s="100">
        <f t="shared" si="32"/>
        <v>7803024.3589743581</v>
      </c>
      <c r="K105" s="30">
        <f t="shared" si="32"/>
        <v>239550</v>
      </c>
      <c r="L105" s="30">
        <f t="shared" si="32"/>
        <v>2881374.358974359</v>
      </c>
      <c r="M105" s="30">
        <f t="shared" si="32"/>
        <v>4682100</v>
      </c>
      <c r="N105" s="30">
        <f t="shared" si="32"/>
        <v>7803024.3589743581</v>
      </c>
      <c r="O105" s="30">
        <f t="shared" si="32"/>
        <v>18531013.277948719</v>
      </c>
      <c r="P105" s="80"/>
    </row>
    <row r="106" spans="2:16" ht="18.600000000000001" customHeight="1" x14ac:dyDescent="0.35">
      <c r="B106" s="141" t="s">
        <v>109</v>
      </c>
      <c r="C106" s="153"/>
      <c r="D106" s="153"/>
      <c r="E106" s="153"/>
      <c r="F106" s="153"/>
      <c r="G106" s="153"/>
      <c r="H106" s="153"/>
      <c r="I106" s="153"/>
      <c r="J106" s="153"/>
      <c r="K106" s="153"/>
      <c r="L106" s="153"/>
      <c r="M106" s="153"/>
      <c r="N106" s="153"/>
      <c r="O106" s="154"/>
      <c r="P106" s="80"/>
    </row>
    <row r="107" spans="2:16" ht="18.600000000000001" customHeight="1" x14ac:dyDescent="0.35">
      <c r="B107" s="138" t="s">
        <v>5</v>
      </c>
      <c r="C107" s="139"/>
      <c r="D107" s="139"/>
      <c r="E107" s="139"/>
      <c r="F107" s="139"/>
      <c r="G107" s="139"/>
      <c r="H107" s="139"/>
      <c r="I107" s="139"/>
      <c r="J107" s="139"/>
      <c r="K107" s="139"/>
      <c r="L107" s="139"/>
      <c r="M107" s="139"/>
      <c r="N107" s="139"/>
      <c r="O107" s="140"/>
      <c r="P107" s="80"/>
    </row>
    <row r="108" spans="2:16" ht="27.6" customHeight="1" x14ac:dyDescent="0.35">
      <c r="B108" s="10" t="s">
        <v>22</v>
      </c>
      <c r="C108" s="8">
        <v>121040</v>
      </c>
      <c r="D108" s="36">
        <f>60000+5000</f>
        <v>65000</v>
      </c>
      <c r="E108" s="36">
        <v>0</v>
      </c>
      <c r="F108" s="37">
        <f t="shared" ref="F108:F111" si="33">SUM(C108:E108)</f>
        <v>186040</v>
      </c>
      <c r="G108" s="95">
        <v>7500</v>
      </c>
      <c r="H108" s="95">
        <v>5128.2051282051279</v>
      </c>
      <c r="I108" s="95">
        <v>6250</v>
      </c>
      <c r="J108" s="89">
        <f t="shared" si="31"/>
        <v>18878.205128205129</v>
      </c>
      <c r="K108" s="45">
        <v>7500</v>
      </c>
      <c r="L108" s="45">
        <v>5128.2051282051279</v>
      </c>
      <c r="M108" s="45">
        <v>6250</v>
      </c>
      <c r="N108" s="41">
        <f>SUM(K108:M108)</f>
        <v>18878.205128205129</v>
      </c>
      <c r="O108" s="41">
        <f t="shared" si="17"/>
        <v>223796.41025641025</v>
      </c>
      <c r="P108" s="80"/>
    </row>
    <row r="109" spans="2:16" ht="17.399999999999999" customHeight="1" x14ac:dyDescent="0.35">
      <c r="B109" s="138" t="s">
        <v>113</v>
      </c>
      <c r="C109" s="139"/>
      <c r="D109" s="139"/>
      <c r="E109" s="139"/>
      <c r="F109" s="139"/>
      <c r="G109" s="139"/>
      <c r="H109" s="139"/>
      <c r="I109" s="139"/>
      <c r="J109" s="139"/>
      <c r="K109" s="139"/>
      <c r="L109" s="139"/>
      <c r="M109" s="139"/>
      <c r="N109" s="139"/>
      <c r="O109" s="140"/>
      <c r="P109" s="80"/>
    </row>
    <row r="110" spans="2:16" ht="24" x14ac:dyDescent="0.35">
      <c r="B110" s="10" t="s">
        <v>23</v>
      </c>
      <c r="C110" s="36">
        <v>60000</v>
      </c>
      <c r="D110" s="36">
        <v>111111</v>
      </c>
      <c r="E110" s="36">
        <v>0</v>
      </c>
      <c r="F110" s="37">
        <f t="shared" si="33"/>
        <v>171111</v>
      </c>
      <c r="G110" s="95">
        <v>25000</v>
      </c>
      <c r="H110" s="95">
        <v>25641.025641025641</v>
      </c>
      <c r="I110" s="95">
        <v>31250</v>
      </c>
      <c r="J110" s="89">
        <f t="shared" si="31"/>
        <v>81891.025641025641</v>
      </c>
      <c r="K110" s="45">
        <v>25000</v>
      </c>
      <c r="L110" s="45">
        <v>25641.025641025641</v>
      </c>
      <c r="M110" s="45">
        <v>31250</v>
      </c>
      <c r="N110" s="41">
        <f t="shared" ref="N110:N111" si="34">SUM(K110:M110)</f>
        <v>81891.025641025641</v>
      </c>
      <c r="O110" s="41">
        <f t="shared" si="17"/>
        <v>334893.05128205125</v>
      </c>
      <c r="P110" s="80"/>
    </row>
    <row r="111" spans="2:16" ht="32.4" customHeight="1" x14ac:dyDescent="0.35">
      <c r="B111" s="10" t="s">
        <v>24</v>
      </c>
      <c r="C111" s="36">
        <f>22500+37500</f>
        <v>60000</v>
      </c>
      <c r="D111" s="36">
        <v>0</v>
      </c>
      <c r="E111" s="36">
        <v>212000</v>
      </c>
      <c r="F111" s="37">
        <f t="shared" si="33"/>
        <v>272000</v>
      </c>
      <c r="G111" s="95">
        <v>125000</v>
      </c>
      <c r="H111" s="95">
        <v>128205.1282051282</v>
      </c>
      <c r="I111" s="95">
        <v>187500</v>
      </c>
      <c r="J111" s="89">
        <f t="shared" si="31"/>
        <v>440705.12820512819</v>
      </c>
      <c r="K111" s="45">
        <v>125000</v>
      </c>
      <c r="L111" s="45">
        <v>128205.1282051282</v>
      </c>
      <c r="M111" s="45">
        <v>187500</v>
      </c>
      <c r="N111" s="41">
        <f t="shared" si="34"/>
        <v>440705.12820512819</v>
      </c>
      <c r="O111" s="41">
        <f t="shared" si="17"/>
        <v>1153410.2564102565</v>
      </c>
      <c r="P111" s="80"/>
    </row>
    <row r="112" spans="2:16" s="19" customFormat="1" ht="18" customHeight="1" x14ac:dyDescent="0.35">
      <c r="B112" s="32" t="s">
        <v>98</v>
      </c>
      <c r="C112" s="32">
        <f t="shared" ref="C112:O112" si="35">SUM(C108:C111)</f>
        <v>241040</v>
      </c>
      <c r="D112" s="32">
        <f t="shared" si="35"/>
        <v>176111</v>
      </c>
      <c r="E112" s="32">
        <f t="shared" si="35"/>
        <v>212000</v>
      </c>
      <c r="F112" s="32">
        <f t="shared" si="35"/>
        <v>629151</v>
      </c>
      <c r="G112" s="97">
        <f t="shared" si="35"/>
        <v>157500</v>
      </c>
      <c r="H112" s="97">
        <f t="shared" si="35"/>
        <v>158974.35897435897</v>
      </c>
      <c r="I112" s="97">
        <f t="shared" si="35"/>
        <v>225000</v>
      </c>
      <c r="J112" s="97">
        <f t="shared" si="35"/>
        <v>541474.358974359</v>
      </c>
      <c r="K112" s="32">
        <f t="shared" si="35"/>
        <v>157500</v>
      </c>
      <c r="L112" s="32">
        <f t="shared" si="35"/>
        <v>158974.35897435897</v>
      </c>
      <c r="M112" s="32">
        <f t="shared" si="35"/>
        <v>225000</v>
      </c>
      <c r="N112" s="32">
        <f t="shared" si="35"/>
        <v>541474.358974359</v>
      </c>
      <c r="O112" s="32">
        <f t="shared" si="35"/>
        <v>1712099.717948718</v>
      </c>
      <c r="P112" s="80"/>
    </row>
    <row r="113" spans="2:16" ht="20.100000000000001" customHeight="1" x14ac:dyDescent="0.35">
      <c r="B113" s="141" t="s">
        <v>110</v>
      </c>
      <c r="C113" s="142"/>
      <c r="D113" s="142"/>
      <c r="E113" s="142"/>
      <c r="F113" s="142"/>
      <c r="G113" s="142"/>
      <c r="H113" s="142"/>
      <c r="I113" s="142"/>
      <c r="J113" s="142"/>
      <c r="K113" s="142"/>
      <c r="L113" s="142"/>
      <c r="M113" s="142"/>
      <c r="N113" s="142"/>
      <c r="O113" s="143"/>
      <c r="P113" s="80"/>
    </row>
    <row r="114" spans="2:16" ht="17.399999999999999" customHeight="1" x14ac:dyDescent="0.35">
      <c r="B114" s="138" t="s">
        <v>5</v>
      </c>
      <c r="C114" s="139"/>
      <c r="D114" s="139"/>
      <c r="E114" s="139"/>
      <c r="F114" s="139"/>
      <c r="G114" s="139"/>
      <c r="H114" s="139"/>
      <c r="I114" s="139"/>
      <c r="J114" s="139"/>
      <c r="K114" s="139"/>
      <c r="L114" s="139"/>
      <c r="M114" s="139"/>
      <c r="N114" s="139"/>
      <c r="O114" s="140"/>
      <c r="P114" s="80"/>
    </row>
    <row r="115" spans="2:16" ht="18.600000000000001" customHeight="1" x14ac:dyDescent="0.35">
      <c r="B115" s="36" t="s">
        <v>25</v>
      </c>
      <c r="C115" s="36">
        <v>0</v>
      </c>
      <c r="D115" s="36">
        <v>0</v>
      </c>
      <c r="E115" s="36">
        <v>0</v>
      </c>
      <c r="F115" s="37">
        <f>SUM(C691)</f>
        <v>0</v>
      </c>
      <c r="G115" s="95">
        <v>7500</v>
      </c>
      <c r="H115" s="95">
        <v>6153.8461538461534</v>
      </c>
      <c r="I115" s="95">
        <v>7500</v>
      </c>
      <c r="J115" s="89">
        <f t="shared" si="31"/>
        <v>21153.846153846152</v>
      </c>
      <c r="K115" s="45">
        <v>7500</v>
      </c>
      <c r="L115" s="45">
        <v>6153.8461538461534</v>
      </c>
      <c r="M115" s="45">
        <v>7500</v>
      </c>
      <c r="N115" s="41">
        <f>SUM(K115:M115)</f>
        <v>21153.846153846152</v>
      </c>
      <c r="O115" s="41">
        <f t="shared" si="17"/>
        <v>42307.692307692305</v>
      </c>
      <c r="P115" s="80"/>
    </row>
    <row r="116" spans="2:16" ht="19.350000000000001" customHeight="1" x14ac:dyDescent="0.35">
      <c r="B116" s="138" t="s">
        <v>112</v>
      </c>
      <c r="C116" s="139"/>
      <c r="D116" s="139"/>
      <c r="E116" s="139"/>
      <c r="F116" s="139"/>
      <c r="G116" s="139"/>
      <c r="H116" s="139"/>
      <c r="I116" s="139"/>
      <c r="J116" s="139"/>
      <c r="K116" s="139"/>
      <c r="L116" s="139"/>
      <c r="M116" s="139"/>
      <c r="N116" s="139"/>
      <c r="O116" s="140"/>
      <c r="P116" s="80"/>
    </row>
    <row r="117" spans="2:16" ht="18" x14ac:dyDescent="0.35">
      <c r="B117" s="36" t="s">
        <v>26</v>
      </c>
      <c r="C117" s="36">
        <v>0</v>
      </c>
      <c r="D117" s="36">
        <v>0</v>
      </c>
      <c r="E117" s="36"/>
      <c r="F117" s="37">
        <f>SUM(C693)</f>
        <v>0</v>
      </c>
      <c r="G117" s="95">
        <v>25000</v>
      </c>
      <c r="H117" s="95">
        <v>25641.025641025641</v>
      </c>
      <c r="I117" s="95">
        <v>37500</v>
      </c>
      <c r="J117" s="89">
        <f t="shared" si="31"/>
        <v>88141.025641025641</v>
      </c>
      <c r="K117" s="45">
        <v>25000</v>
      </c>
      <c r="L117" s="45">
        <v>25641.025641025641</v>
      </c>
      <c r="M117" s="45">
        <v>37500</v>
      </c>
      <c r="N117" s="41">
        <f>SUM(K117:M117)</f>
        <v>88141.025641025641</v>
      </c>
      <c r="O117" s="41">
        <f t="shared" si="17"/>
        <v>176282.05128205128</v>
      </c>
      <c r="P117" s="80"/>
    </row>
    <row r="118" spans="2:16" ht="27.6" x14ac:dyDescent="0.35">
      <c r="B118" s="36" t="s">
        <v>27</v>
      </c>
      <c r="C118" s="36">
        <v>0</v>
      </c>
      <c r="D118" s="36">
        <v>0</v>
      </c>
      <c r="E118" s="36">
        <v>0</v>
      </c>
      <c r="F118" s="37">
        <f>SUM(C694)</f>
        <v>0</v>
      </c>
      <c r="G118" s="95">
        <v>25000</v>
      </c>
      <c r="H118" s="95">
        <v>25641.025641025641</v>
      </c>
      <c r="I118" s="95">
        <v>37500</v>
      </c>
      <c r="J118" s="89">
        <f t="shared" si="31"/>
        <v>88141.025641025641</v>
      </c>
      <c r="K118" s="45">
        <v>25000</v>
      </c>
      <c r="L118" s="45">
        <v>25641.025641025641</v>
      </c>
      <c r="M118" s="45">
        <v>37500</v>
      </c>
      <c r="N118" s="41">
        <f t="shared" ref="N118:N119" si="36">SUM(K118:M118)</f>
        <v>88141.025641025641</v>
      </c>
      <c r="O118" s="41">
        <f t="shared" si="17"/>
        <v>176282.05128205128</v>
      </c>
      <c r="P118" s="80"/>
    </row>
    <row r="119" spans="2:16" ht="27" customHeight="1" x14ac:dyDescent="0.35">
      <c r="B119" s="36" t="s">
        <v>28</v>
      </c>
      <c r="C119" s="36"/>
      <c r="D119" s="36">
        <v>0</v>
      </c>
      <c r="E119" s="36">
        <v>0</v>
      </c>
      <c r="F119" s="37">
        <f>SUM(C695)</f>
        <v>0</v>
      </c>
      <c r="G119" s="95">
        <v>379175</v>
      </c>
      <c r="H119" s="95">
        <v>405999.99999999994</v>
      </c>
      <c r="I119" s="95">
        <v>673399.875</v>
      </c>
      <c r="J119" s="89">
        <f t="shared" si="31"/>
        <v>1458574.875</v>
      </c>
      <c r="K119" s="45">
        <v>379175</v>
      </c>
      <c r="L119" s="45">
        <v>405999.99999999994</v>
      </c>
      <c r="M119" s="45">
        <v>673399.875</v>
      </c>
      <c r="N119" s="41">
        <f t="shared" si="36"/>
        <v>1458574.875</v>
      </c>
      <c r="O119" s="41">
        <f t="shared" si="17"/>
        <v>2917149.75</v>
      </c>
      <c r="P119" s="80"/>
    </row>
    <row r="120" spans="2:16" s="19" customFormat="1" ht="19.350000000000001" customHeight="1" x14ac:dyDescent="0.35">
      <c r="B120" s="30" t="s">
        <v>98</v>
      </c>
      <c r="C120" s="30">
        <f t="shared" ref="C120:F120" si="37">SUM(C115:C119)</f>
        <v>0</v>
      </c>
      <c r="D120" s="30">
        <f t="shared" si="37"/>
        <v>0</v>
      </c>
      <c r="E120" s="30">
        <f t="shared" si="37"/>
        <v>0</v>
      </c>
      <c r="F120" s="30">
        <f t="shared" si="37"/>
        <v>0</v>
      </c>
      <c r="G120" s="100">
        <f>SUM(G115:G119)</f>
        <v>436675</v>
      </c>
      <c r="H120" s="100">
        <f t="shared" ref="H120:I120" si="38">SUM(H115:H119)</f>
        <v>463435.89743589738</v>
      </c>
      <c r="I120" s="100">
        <f t="shared" si="38"/>
        <v>755899.875</v>
      </c>
      <c r="J120" s="92">
        <f t="shared" si="31"/>
        <v>1656010.7724358975</v>
      </c>
      <c r="K120" s="30">
        <f t="shared" ref="K120:M120" si="39">SUM(K115:K119)</f>
        <v>436675</v>
      </c>
      <c r="L120" s="30">
        <f t="shared" si="39"/>
        <v>463435.89743589738</v>
      </c>
      <c r="M120" s="30">
        <f t="shared" si="39"/>
        <v>755899.875</v>
      </c>
      <c r="N120" s="30">
        <f>SUM(N115:N119)</f>
        <v>1656010.7724358975</v>
      </c>
      <c r="O120" s="30">
        <f>O119+O118+O117+O115</f>
        <v>3312021.5448717955</v>
      </c>
      <c r="P120" s="80"/>
    </row>
    <row r="121" spans="2:16" s="19" customFormat="1" ht="24.6" customHeight="1" thickBot="1" x14ac:dyDescent="0.4">
      <c r="B121" s="61" t="s">
        <v>92</v>
      </c>
      <c r="C121" s="61">
        <f t="shared" ref="C121:O121" si="40">C120+C112+C105</f>
        <v>555780</v>
      </c>
      <c r="D121" s="61">
        <f t="shared" si="40"/>
        <v>1292510.56</v>
      </c>
      <c r="E121" s="61">
        <f t="shared" si="40"/>
        <v>1705825</v>
      </c>
      <c r="F121" s="61">
        <f t="shared" si="40"/>
        <v>3554115.56</v>
      </c>
      <c r="G121" s="98">
        <f t="shared" si="40"/>
        <v>833725</v>
      </c>
      <c r="H121" s="98">
        <f t="shared" si="40"/>
        <v>3503784.6153846155</v>
      </c>
      <c r="I121" s="98">
        <f t="shared" si="40"/>
        <v>5662999.875</v>
      </c>
      <c r="J121" s="98">
        <f t="shared" si="40"/>
        <v>10000509.490384614</v>
      </c>
      <c r="K121" s="61">
        <f t="shared" si="40"/>
        <v>833725</v>
      </c>
      <c r="L121" s="61">
        <f t="shared" si="40"/>
        <v>3503784.6153846155</v>
      </c>
      <c r="M121" s="61">
        <f t="shared" si="40"/>
        <v>5662999.875</v>
      </c>
      <c r="N121" s="61">
        <f t="shared" si="40"/>
        <v>10000509.490384614</v>
      </c>
      <c r="O121" s="61">
        <f t="shared" si="40"/>
        <v>23555134.540769234</v>
      </c>
      <c r="P121" s="80"/>
    </row>
    <row r="122" spans="2:16" ht="33" customHeight="1" thickTop="1" thickBot="1" x14ac:dyDescent="0.4">
      <c r="B122" s="128" t="s">
        <v>111</v>
      </c>
      <c r="C122" s="129"/>
      <c r="D122" s="129"/>
      <c r="E122" s="129"/>
      <c r="F122" s="129"/>
      <c r="G122" s="129"/>
      <c r="H122" s="129"/>
      <c r="I122" s="129"/>
      <c r="J122" s="129"/>
      <c r="K122" s="129"/>
      <c r="L122" s="129"/>
      <c r="M122" s="129"/>
      <c r="N122" s="129"/>
      <c r="O122" s="130"/>
      <c r="P122" s="80"/>
    </row>
    <row r="123" spans="2:16" ht="18.600000000000001" thickTop="1" x14ac:dyDescent="0.35">
      <c r="B123" s="66" t="s">
        <v>62</v>
      </c>
      <c r="C123" s="66">
        <v>0</v>
      </c>
      <c r="D123" s="66">
        <v>0</v>
      </c>
      <c r="E123" s="66">
        <v>0</v>
      </c>
      <c r="F123" s="67">
        <f>SUM(C123:E123)</f>
        <v>0</v>
      </c>
      <c r="G123" s="102">
        <v>1091483.125</v>
      </c>
      <c r="H123" s="102">
        <v>3657712.7734999997</v>
      </c>
      <c r="I123" s="102">
        <v>8316945</v>
      </c>
      <c r="J123" s="103">
        <f t="shared" si="31"/>
        <v>13066140.898499999</v>
      </c>
      <c r="K123" s="68">
        <v>1091483.125</v>
      </c>
      <c r="L123" s="68">
        <v>3657712.7734999997</v>
      </c>
      <c r="M123" s="69">
        <v>8316945</v>
      </c>
      <c r="N123" s="70">
        <f>SUM(K123:M123)</f>
        <v>13066140.898499999</v>
      </c>
      <c r="O123" s="71">
        <f t="shared" si="17"/>
        <v>26132281.796999998</v>
      </c>
      <c r="P123" s="80"/>
    </row>
    <row r="124" spans="2:16" ht="18" x14ac:dyDescent="0.35">
      <c r="B124" s="36" t="s">
        <v>63</v>
      </c>
      <c r="C124" s="36">
        <v>0</v>
      </c>
      <c r="D124" s="36">
        <v>0</v>
      </c>
      <c r="E124" s="36">
        <v>0</v>
      </c>
      <c r="F124" s="37">
        <f t="shared" ref="F124:F126" si="41">SUM(C124:E124)</f>
        <v>0</v>
      </c>
      <c r="G124" s="95">
        <v>0</v>
      </c>
      <c r="H124" s="95">
        <v>587892.99699999997</v>
      </c>
      <c r="I124" s="95">
        <v>875481.75</v>
      </c>
      <c r="J124" s="89">
        <f t="shared" si="31"/>
        <v>1463374.747</v>
      </c>
      <c r="K124" s="45">
        <v>0</v>
      </c>
      <c r="L124" s="45">
        <v>587892.99699999997</v>
      </c>
      <c r="M124" s="51">
        <v>875481.75</v>
      </c>
      <c r="N124" s="52">
        <f t="shared" ref="N124:N126" si="42">SUM(K124:M124)</f>
        <v>1463374.747</v>
      </c>
      <c r="O124" s="41">
        <f t="shared" si="17"/>
        <v>2926749.4939999999</v>
      </c>
      <c r="P124" s="80"/>
    </row>
    <row r="125" spans="2:16" ht="18" x14ac:dyDescent="0.35">
      <c r="B125" s="36" t="s">
        <v>64</v>
      </c>
      <c r="C125" s="36">
        <f>24530+15000+35000+50000+69500</f>
        <v>194030</v>
      </c>
      <c r="D125" s="36">
        <f>42733+60000+18500+80000+75000</f>
        <v>276233</v>
      </c>
      <c r="E125" s="36">
        <f>200000+100000+171000</f>
        <v>471000</v>
      </c>
      <c r="F125" s="37">
        <f t="shared" si="41"/>
        <v>941263</v>
      </c>
      <c r="G125" s="95">
        <v>16822</v>
      </c>
      <c r="H125" s="95">
        <v>561210.02299999993</v>
      </c>
      <c r="I125" s="95">
        <v>3787155</v>
      </c>
      <c r="J125" s="89">
        <f t="shared" si="31"/>
        <v>4365187.023</v>
      </c>
      <c r="K125" s="45">
        <v>16822</v>
      </c>
      <c r="L125" s="45">
        <v>561210.02299999993</v>
      </c>
      <c r="M125" s="51">
        <v>3787155</v>
      </c>
      <c r="N125" s="52">
        <f t="shared" si="42"/>
        <v>4365187.023</v>
      </c>
      <c r="O125" s="41">
        <f t="shared" si="17"/>
        <v>9671637.0460000001</v>
      </c>
      <c r="P125" s="80"/>
    </row>
    <row r="126" spans="2:16" ht="18" x14ac:dyDescent="0.35">
      <c r="B126" s="36" t="s">
        <v>133</v>
      </c>
      <c r="C126" s="36"/>
      <c r="D126" s="36"/>
      <c r="E126" s="36"/>
      <c r="F126" s="37">
        <f t="shared" si="41"/>
        <v>0</v>
      </c>
      <c r="G126" s="95">
        <v>23647.75</v>
      </c>
      <c r="H126" s="95">
        <v>132958.68299999999</v>
      </c>
      <c r="I126" s="95">
        <v>432000</v>
      </c>
      <c r="J126" s="89">
        <f t="shared" si="31"/>
        <v>588606.43299999996</v>
      </c>
      <c r="K126" s="45">
        <v>23647.75</v>
      </c>
      <c r="L126" s="45">
        <v>132958.68299999999</v>
      </c>
      <c r="M126" s="51">
        <v>432000</v>
      </c>
      <c r="N126" s="52">
        <f t="shared" si="42"/>
        <v>588606.43299999996</v>
      </c>
      <c r="O126" s="41">
        <f t="shared" si="17"/>
        <v>1177212.8659999999</v>
      </c>
      <c r="P126" s="80"/>
    </row>
    <row r="127" spans="2:16" s="19" customFormat="1" ht="19.649999999999999" customHeight="1" x14ac:dyDescent="0.35">
      <c r="B127" s="30" t="s">
        <v>98</v>
      </c>
      <c r="C127" s="30">
        <f>SUM(C123:C126)</f>
        <v>194030</v>
      </c>
      <c r="D127" s="30">
        <f t="shared" ref="D127:O127" si="43">SUM(D123:D126)</f>
        <v>276233</v>
      </c>
      <c r="E127" s="30">
        <f t="shared" si="43"/>
        <v>471000</v>
      </c>
      <c r="F127" s="30">
        <f t="shared" si="43"/>
        <v>941263</v>
      </c>
      <c r="G127" s="100">
        <f t="shared" si="43"/>
        <v>1131952.875</v>
      </c>
      <c r="H127" s="100">
        <f t="shared" si="43"/>
        <v>4939774.4764999999</v>
      </c>
      <c r="I127" s="100">
        <f t="shared" si="43"/>
        <v>13411581.75</v>
      </c>
      <c r="J127" s="100">
        <f t="shared" si="43"/>
        <v>19483309.101499997</v>
      </c>
      <c r="K127" s="30">
        <f t="shared" si="43"/>
        <v>1131952.875</v>
      </c>
      <c r="L127" s="30">
        <f t="shared" si="43"/>
        <v>4939774.4764999999</v>
      </c>
      <c r="M127" s="30">
        <f t="shared" si="43"/>
        <v>13411581.75</v>
      </c>
      <c r="N127" s="30">
        <f t="shared" si="43"/>
        <v>19483309.101499997</v>
      </c>
      <c r="O127" s="30">
        <f t="shared" si="43"/>
        <v>39907881.202999994</v>
      </c>
      <c r="P127" s="80"/>
    </row>
    <row r="128" spans="2:16" s="19" customFormat="1" ht="22.5" customHeight="1" thickBot="1" x14ac:dyDescent="0.4">
      <c r="B128" s="61" t="s">
        <v>93</v>
      </c>
      <c r="C128" s="61">
        <f>C127</f>
        <v>194030</v>
      </c>
      <c r="D128" s="61">
        <f t="shared" ref="D128:O128" si="44">D127</f>
        <v>276233</v>
      </c>
      <c r="E128" s="61">
        <f t="shared" si="44"/>
        <v>471000</v>
      </c>
      <c r="F128" s="61">
        <f t="shared" si="44"/>
        <v>941263</v>
      </c>
      <c r="G128" s="98">
        <f t="shared" si="44"/>
        <v>1131952.875</v>
      </c>
      <c r="H128" s="98">
        <f t="shared" si="44"/>
        <v>4939774.4764999999</v>
      </c>
      <c r="I128" s="98">
        <f t="shared" si="44"/>
        <v>13411581.75</v>
      </c>
      <c r="J128" s="98">
        <f t="shared" si="44"/>
        <v>19483309.101499997</v>
      </c>
      <c r="K128" s="61">
        <f t="shared" si="44"/>
        <v>1131952.875</v>
      </c>
      <c r="L128" s="61">
        <f t="shared" si="44"/>
        <v>4939774.4764999999</v>
      </c>
      <c r="M128" s="61">
        <f t="shared" si="44"/>
        <v>13411581.75</v>
      </c>
      <c r="N128" s="61">
        <f t="shared" si="44"/>
        <v>19483309.101499997</v>
      </c>
      <c r="O128" s="61">
        <f t="shared" si="44"/>
        <v>39907881.202999994</v>
      </c>
      <c r="P128" s="80"/>
    </row>
    <row r="129" spans="2:16" s="15" customFormat="1" ht="30" customHeight="1" thickTop="1" thickBot="1" x14ac:dyDescent="0.4">
      <c r="B129" s="128" t="s">
        <v>65</v>
      </c>
      <c r="C129" s="129"/>
      <c r="D129" s="129"/>
      <c r="E129" s="129"/>
      <c r="F129" s="129"/>
      <c r="G129" s="129"/>
      <c r="H129" s="129"/>
      <c r="I129" s="129"/>
      <c r="J129" s="129"/>
      <c r="K129" s="129"/>
      <c r="L129" s="129"/>
      <c r="M129" s="129"/>
      <c r="N129" s="129"/>
      <c r="O129" s="130"/>
      <c r="P129" s="80"/>
    </row>
    <row r="130" spans="2:16" s="1" customFormat="1" ht="18.600000000000001" thickTop="1" x14ac:dyDescent="0.35">
      <c r="B130" s="131" t="s">
        <v>87</v>
      </c>
      <c r="C130" s="132"/>
      <c r="D130" s="132"/>
      <c r="E130" s="132"/>
      <c r="F130" s="132"/>
      <c r="G130" s="132"/>
      <c r="H130" s="132"/>
      <c r="I130" s="132"/>
      <c r="J130" s="132"/>
      <c r="K130" s="132"/>
      <c r="L130" s="132"/>
      <c r="M130" s="132"/>
      <c r="N130" s="132"/>
      <c r="O130" s="133"/>
      <c r="P130" s="80"/>
    </row>
    <row r="131" spans="2:16" ht="29.4" customHeight="1" x14ac:dyDescent="0.35">
      <c r="B131" s="53" t="s">
        <v>134</v>
      </c>
      <c r="C131" s="53">
        <v>0</v>
      </c>
      <c r="D131" s="53">
        <v>28024</v>
      </c>
      <c r="E131" s="53">
        <v>0</v>
      </c>
      <c r="F131" s="54">
        <f>SUM(C131:E131)</f>
        <v>28024</v>
      </c>
      <c r="G131" s="104">
        <v>0</v>
      </c>
      <c r="H131" s="104">
        <v>0</v>
      </c>
      <c r="I131" s="104">
        <v>0</v>
      </c>
      <c r="J131" s="89">
        <v>60000</v>
      </c>
      <c r="K131" s="18">
        <v>0</v>
      </c>
      <c r="L131" s="18">
        <v>0</v>
      </c>
      <c r="M131" s="41">
        <v>0</v>
      </c>
      <c r="N131" s="41">
        <v>60000</v>
      </c>
      <c r="O131" s="41">
        <f>SUM(F131+J131+N131)</f>
        <v>148024</v>
      </c>
      <c r="P131" s="80"/>
    </row>
    <row r="132" spans="2:16" ht="18" x14ac:dyDescent="0.35">
      <c r="B132" s="55" t="s">
        <v>135</v>
      </c>
      <c r="C132" s="55">
        <f>19900+20300+18200</f>
        <v>58400</v>
      </c>
      <c r="D132" s="55">
        <v>45000</v>
      </c>
      <c r="E132" s="55">
        <v>40000</v>
      </c>
      <c r="F132" s="54">
        <f t="shared" ref="F132:F133" si="45">SUM(C132:E132)</f>
        <v>143400</v>
      </c>
      <c r="G132" s="104">
        <v>0</v>
      </c>
      <c r="H132" s="104">
        <v>0</v>
      </c>
      <c r="I132" s="104">
        <v>0</v>
      </c>
      <c r="J132" s="89">
        <v>45000</v>
      </c>
      <c r="K132" s="18">
        <v>0</v>
      </c>
      <c r="L132" s="18">
        <v>0</v>
      </c>
      <c r="M132" s="41">
        <v>0</v>
      </c>
      <c r="N132" s="41">
        <v>45000</v>
      </c>
      <c r="O132" s="41">
        <f t="shared" ref="O132:O134" si="46">SUM(F132+J132+N132)</f>
        <v>233400</v>
      </c>
      <c r="P132" s="80"/>
    </row>
    <row r="133" spans="2:16" ht="28.65" customHeight="1" x14ac:dyDescent="0.35">
      <c r="B133" s="48" t="s">
        <v>136</v>
      </c>
      <c r="C133" s="48">
        <v>0</v>
      </c>
      <c r="D133" s="48">
        <v>0</v>
      </c>
      <c r="E133" s="48">
        <v>0</v>
      </c>
      <c r="F133" s="54">
        <f t="shared" si="45"/>
        <v>0</v>
      </c>
      <c r="G133" s="104">
        <v>0</v>
      </c>
      <c r="H133" s="104">
        <v>0</v>
      </c>
      <c r="I133" s="104">
        <v>0</v>
      </c>
      <c r="J133" s="89">
        <v>20000</v>
      </c>
      <c r="K133" s="18">
        <v>0</v>
      </c>
      <c r="L133" s="18">
        <v>0</v>
      </c>
      <c r="M133" s="41">
        <v>0</v>
      </c>
      <c r="N133" s="41">
        <v>20000</v>
      </c>
      <c r="O133" s="41">
        <f t="shared" si="46"/>
        <v>40000</v>
      </c>
      <c r="P133" s="80"/>
    </row>
    <row r="134" spans="2:16" ht="18" x14ac:dyDescent="0.35">
      <c r="B134" s="53" t="s">
        <v>66</v>
      </c>
      <c r="C134" s="53">
        <v>0</v>
      </c>
      <c r="D134" s="53">
        <v>0</v>
      </c>
      <c r="E134" s="53">
        <v>0</v>
      </c>
      <c r="F134" s="54">
        <v>0</v>
      </c>
      <c r="G134" s="104">
        <f>SUM(G131:G133)</f>
        <v>0</v>
      </c>
      <c r="H134" s="104">
        <v>0</v>
      </c>
      <c r="I134" s="104">
        <f>SUM(I131:I133)</f>
        <v>0</v>
      </c>
      <c r="J134" s="105">
        <v>110000</v>
      </c>
      <c r="K134" s="18">
        <f>SUM(K131:K133)</f>
        <v>0</v>
      </c>
      <c r="L134" s="18">
        <v>0</v>
      </c>
      <c r="M134" s="56">
        <v>0</v>
      </c>
      <c r="N134" s="41">
        <v>120000</v>
      </c>
      <c r="O134" s="41">
        <f t="shared" si="46"/>
        <v>230000</v>
      </c>
      <c r="P134" s="80"/>
    </row>
    <row r="135" spans="2:16" s="1" customFormat="1" ht="19.350000000000001" customHeight="1" x14ac:dyDescent="0.35">
      <c r="B135" s="30" t="s">
        <v>98</v>
      </c>
      <c r="C135" s="35">
        <f>SUM(C131:C134)</f>
        <v>58400</v>
      </c>
      <c r="D135" s="35">
        <f t="shared" ref="D135:M135" si="47">SUM(D131:D134)</f>
        <v>73024</v>
      </c>
      <c r="E135" s="35">
        <f t="shared" si="47"/>
        <v>40000</v>
      </c>
      <c r="F135" s="35">
        <f t="shared" si="47"/>
        <v>171424</v>
      </c>
      <c r="G135" s="106">
        <f t="shared" si="47"/>
        <v>0</v>
      </c>
      <c r="H135" s="106">
        <f t="shared" si="47"/>
        <v>0</v>
      </c>
      <c r="I135" s="106">
        <f t="shared" si="47"/>
        <v>0</v>
      </c>
      <c r="J135" s="106">
        <f t="shared" si="47"/>
        <v>235000</v>
      </c>
      <c r="K135" s="35">
        <f t="shared" si="47"/>
        <v>0</v>
      </c>
      <c r="L135" s="35">
        <f t="shared" si="47"/>
        <v>0</v>
      </c>
      <c r="M135" s="35">
        <f t="shared" si="47"/>
        <v>0</v>
      </c>
      <c r="N135" s="35">
        <f>SUM(N131:N134)</f>
        <v>245000</v>
      </c>
      <c r="O135" s="35">
        <f t="shared" ref="O135" si="48">SUM(O131:O134)</f>
        <v>651424</v>
      </c>
      <c r="P135" s="80"/>
    </row>
    <row r="136" spans="2:16" s="16" customFormat="1" ht="18" x14ac:dyDescent="0.35">
      <c r="B136" s="134" t="s">
        <v>89</v>
      </c>
      <c r="C136" s="135"/>
      <c r="D136" s="135"/>
      <c r="E136" s="135"/>
      <c r="F136" s="135"/>
      <c r="G136" s="135"/>
      <c r="H136" s="135"/>
      <c r="I136" s="135"/>
      <c r="J136" s="135"/>
      <c r="K136" s="135"/>
      <c r="L136" s="135"/>
      <c r="M136" s="135"/>
      <c r="N136" s="135"/>
      <c r="O136" s="136"/>
      <c r="P136" s="80"/>
    </row>
    <row r="137" spans="2:16" ht="18" x14ac:dyDescent="0.35">
      <c r="B137" s="53" t="s">
        <v>137</v>
      </c>
      <c r="C137" s="53">
        <v>0</v>
      </c>
      <c r="D137" s="53">
        <v>0</v>
      </c>
      <c r="E137" s="53">
        <v>0</v>
      </c>
      <c r="F137" s="56">
        <f>317000/2</f>
        <v>158500</v>
      </c>
      <c r="G137" s="107">
        <v>0</v>
      </c>
      <c r="H137" s="107">
        <v>0</v>
      </c>
      <c r="I137" s="104">
        <v>0</v>
      </c>
      <c r="J137" s="105">
        <v>317000</v>
      </c>
      <c r="K137" s="53">
        <v>0</v>
      </c>
      <c r="L137" s="53">
        <v>0</v>
      </c>
      <c r="M137" s="53">
        <v>0</v>
      </c>
      <c r="N137" s="56">
        <f>317000/2</f>
        <v>158500</v>
      </c>
      <c r="O137" s="41">
        <f t="shared" ref="O137:O151" si="49">F137+J137+N137</f>
        <v>634000</v>
      </c>
      <c r="P137" s="80"/>
    </row>
    <row r="138" spans="2:16" ht="18" x14ac:dyDescent="0.35">
      <c r="B138" s="53" t="s">
        <v>138</v>
      </c>
      <c r="C138" s="53">
        <v>0</v>
      </c>
      <c r="D138" s="53">
        <v>0</v>
      </c>
      <c r="E138" s="53">
        <v>0</v>
      </c>
      <c r="F138" s="56">
        <f>284000/2</f>
        <v>142000</v>
      </c>
      <c r="G138" s="107">
        <v>0</v>
      </c>
      <c r="H138" s="107">
        <v>0</v>
      </c>
      <c r="I138" s="104">
        <v>0</v>
      </c>
      <c r="J138" s="105">
        <v>284000</v>
      </c>
      <c r="K138" s="53">
        <v>0</v>
      </c>
      <c r="L138" s="53">
        <v>0</v>
      </c>
      <c r="M138" s="53">
        <v>0</v>
      </c>
      <c r="N138" s="56">
        <f>284000/2</f>
        <v>142000</v>
      </c>
      <c r="O138" s="41">
        <f t="shared" si="49"/>
        <v>568000</v>
      </c>
      <c r="P138" s="80"/>
    </row>
    <row r="139" spans="2:16" ht="18" x14ac:dyDescent="0.35">
      <c r="B139" s="53" t="s">
        <v>143</v>
      </c>
      <c r="C139" s="53">
        <v>0</v>
      </c>
      <c r="D139" s="53">
        <v>0</v>
      </c>
      <c r="E139" s="53">
        <v>0</v>
      </c>
      <c r="F139" s="53">
        <v>0</v>
      </c>
      <c r="G139" s="107">
        <v>0</v>
      </c>
      <c r="H139" s="107">
        <v>0</v>
      </c>
      <c r="I139" s="107">
        <v>0</v>
      </c>
      <c r="J139" s="105">
        <v>248000</v>
      </c>
      <c r="K139" s="53">
        <v>0</v>
      </c>
      <c r="L139" s="53">
        <v>0</v>
      </c>
      <c r="M139" s="53">
        <v>0</v>
      </c>
      <c r="N139" s="56">
        <f>248000/2</f>
        <v>124000</v>
      </c>
      <c r="O139" s="41">
        <f>F139+J139+N139</f>
        <v>372000</v>
      </c>
      <c r="P139" s="80"/>
    </row>
    <row r="140" spans="2:16" ht="18" x14ac:dyDescent="0.35">
      <c r="B140" s="53" t="s">
        <v>139</v>
      </c>
      <c r="C140" s="53">
        <v>0</v>
      </c>
      <c r="D140" s="53">
        <v>0</v>
      </c>
      <c r="E140" s="53">
        <v>0</v>
      </c>
      <c r="F140" s="56">
        <f>25679.46068/2</f>
        <v>12839.73034</v>
      </c>
      <c r="G140" s="107">
        <v>0</v>
      </c>
      <c r="H140" s="107">
        <v>0</v>
      </c>
      <c r="I140" s="104">
        <v>0</v>
      </c>
      <c r="J140" s="105">
        <v>25679.460679999997</v>
      </c>
      <c r="K140" s="53">
        <v>0</v>
      </c>
      <c r="L140" s="53">
        <v>0</v>
      </c>
      <c r="M140" s="53">
        <v>0</v>
      </c>
      <c r="N140" s="56">
        <v>12839.73034</v>
      </c>
      <c r="O140" s="41">
        <f>F140+J140+N140</f>
        <v>51358.92136</v>
      </c>
      <c r="P140" s="80"/>
    </row>
    <row r="141" spans="2:16" ht="18" x14ac:dyDescent="0.35">
      <c r="B141" s="53" t="s">
        <v>144</v>
      </c>
      <c r="C141" s="53">
        <v>0</v>
      </c>
      <c r="D141" s="53">
        <v>0</v>
      </c>
      <c r="E141" s="53">
        <v>0</v>
      </c>
      <c r="F141" s="53">
        <v>0</v>
      </c>
      <c r="G141" s="107">
        <v>0</v>
      </c>
      <c r="H141" s="107">
        <v>0</v>
      </c>
      <c r="I141" s="107">
        <v>0</v>
      </c>
      <c r="J141" s="105">
        <v>211000</v>
      </c>
      <c r="K141" s="53">
        <v>0</v>
      </c>
      <c r="L141" s="53">
        <v>0</v>
      </c>
      <c r="M141" s="53">
        <v>0</v>
      </c>
      <c r="N141" s="56">
        <f>211000/2</f>
        <v>105500</v>
      </c>
      <c r="O141" s="41">
        <f>F141+J141+N141</f>
        <v>316500</v>
      </c>
      <c r="P141" s="80"/>
    </row>
    <row r="142" spans="2:16" ht="18" x14ac:dyDescent="0.35">
      <c r="B142" s="53" t="s">
        <v>140</v>
      </c>
      <c r="C142" s="53">
        <v>0</v>
      </c>
      <c r="D142" s="53">
        <v>0</v>
      </c>
      <c r="E142" s="53">
        <v>0</v>
      </c>
      <c r="F142" s="56">
        <f>28127.303716/2</f>
        <v>14063.651857999999</v>
      </c>
      <c r="G142" s="107">
        <v>0</v>
      </c>
      <c r="H142" s="107">
        <v>0</v>
      </c>
      <c r="I142" s="104">
        <v>0</v>
      </c>
      <c r="J142" s="105">
        <v>28127.303716000002</v>
      </c>
      <c r="K142" s="53">
        <v>0</v>
      </c>
      <c r="L142" s="53">
        <v>0</v>
      </c>
      <c r="M142" s="53">
        <v>0</v>
      </c>
      <c r="N142" s="56">
        <v>14063.651857999999</v>
      </c>
      <c r="O142" s="41">
        <f>F142+J142+N142</f>
        <v>56254.607431999997</v>
      </c>
      <c r="P142" s="80"/>
    </row>
    <row r="143" spans="2:16" ht="18" x14ac:dyDescent="0.35">
      <c r="B143" s="53" t="s">
        <v>141</v>
      </c>
      <c r="C143" s="53">
        <v>0</v>
      </c>
      <c r="D143" s="53">
        <v>0</v>
      </c>
      <c r="E143" s="53">
        <v>0</v>
      </c>
      <c r="F143" s="56">
        <f>28127.303716/2</f>
        <v>14063.651857999999</v>
      </c>
      <c r="G143" s="107">
        <v>0</v>
      </c>
      <c r="H143" s="107">
        <v>0</v>
      </c>
      <c r="I143" s="104">
        <v>0</v>
      </c>
      <c r="J143" s="105">
        <v>28127.303716000002</v>
      </c>
      <c r="K143" s="53">
        <v>0</v>
      </c>
      <c r="L143" s="53">
        <v>0</v>
      </c>
      <c r="M143" s="53">
        <v>0</v>
      </c>
      <c r="N143" s="56">
        <v>14063.651857999999</v>
      </c>
      <c r="O143" s="41">
        <f t="shared" si="49"/>
        <v>56254.607431999997</v>
      </c>
      <c r="P143" s="80"/>
    </row>
    <row r="144" spans="2:16" ht="18" x14ac:dyDescent="0.35">
      <c r="B144" s="53" t="s">
        <v>142</v>
      </c>
      <c r="C144" s="53">
        <v>0</v>
      </c>
      <c r="D144" s="53">
        <v>0</v>
      </c>
      <c r="E144" s="53">
        <v>0</v>
      </c>
      <c r="F144" s="56">
        <f>28127.303716/2</f>
        <v>14063.651857999999</v>
      </c>
      <c r="G144" s="107">
        <v>0</v>
      </c>
      <c r="H144" s="107">
        <v>0</v>
      </c>
      <c r="I144" s="104">
        <v>0</v>
      </c>
      <c r="J144" s="105">
        <v>28127.303716000002</v>
      </c>
      <c r="K144" s="53">
        <v>0</v>
      </c>
      <c r="L144" s="53">
        <v>0</v>
      </c>
      <c r="M144" s="53">
        <v>0</v>
      </c>
      <c r="N144" s="56">
        <v>14063.651857999999</v>
      </c>
      <c r="O144" s="41">
        <f t="shared" si="49"/>
        <v>56254.607431999997</v>
      </c>
      <c r="P144" s="80"/>
    </row>
    <row r="145" spans="2:16" ht="18" x14ac:dyDescent="0.35">
      <c r="B145" s="53" t="s">
        <v>149</v>
      </c>
      <c r="C145" s="53">
        <v>0</v>
      </c>
      <c r="D145" s="53">
        <v>0</v>
      </c>
      <c r="E145" s="53">
        <v>0</v>
      </c>
      <c r="F145" s="53">
        <v>0</v>
      </c>
      <c r="G145" s="107">
        <v>0</v>
      </c>
      <c r="H145" s="107">
        <v>0</v>
      </c>
      <c r="I145" s="104">
        <v>0</v>
      </c>
      <c r="J145" s="105">
        <v>32152.396335999998</v>
      </c>
      <c r="K145" s="53">
        <v>0</v>
      </c>
      <c r="L145" s="53">
        <v>0</v>
      </c>
      <c r="M145" s="53">
        <v>0</v>
      </c>
      <c r="N145" s="56">
        <v>16076.198168000001</v>
      </c>
      <c r="O145" s="41">
        <f t="shared" si="49"/>
        <v>48228.594504000001</v>
      </c>
      <c r="P145" s="80"/>
    </row>
    <row r="146" spans="2:16" ht="18" x14ac:dyDescent="0.35">
      <c r="B146" s="53" t="s">
        <v>150</v>
      </c>
      <c r="C146" s="53">
        <v>0</v>
      </c>
      <c r="D146" s="53">
        <v>0</v>
      </c>
      <c r="E146" s="53">
        <v>0</v>
      </c>
      <c r="F146" s="53">
        <v>0</v>
      </c>
      <c r="G146" s="107">
        <v>0</v>
      </c>
      <c r="H146" s="107">
        <v>0</v>
      </c>
      <c r="I146" s="104">
        <v>0</v>
      </c>
      <c r="J146" s="105">
        <v>25679.460679999997</v>
      </c>
      <c r="K146" s="18">
        <v>0</v>
      </c>
      <c r="L146" s="18">
        <v>0</v>
      </c>
      <c r="M146" s="53">
        <v>0</v>
      </c>
      <c r="N146" s="56">
        <v>12839.73034</v>
      </c>
      <c r="O146" s="41">
        <f t="shared" si="49"/>
        <v>38519.191019999998</v>
      </c>
      <c r="P146" s="80"/>
    </row>
    <row r="147" spans="2:16" ht="18" x14ac:dyDescent="0.35">
      <c r="B147" s="53" t="s">
        <v>145</v>
      </c>
      <c r="C147" s="53">
        <v>0</v>
      </c>
      <c r="D147" s="53">
        <v>0</v>
      </c>
      <c r="E147" s="53">
        <v>0</v>
      </c>
      <c r="F147" s="53">
        <v>0</v>
      </c>
      <c r="G147" s="107">
        <v>0</v>
      </c>
      <c r="H147" s="107">
        <v>0</v>
      </c>
      <c r="I147" s="107">
        <v>0</v>
      </c>
      <c r="J147" s="105">
        <v>211000</v>
      </c>
      <c r="K147" s="53">
        <v>0</v>
      </c>
      <c r="L147" s="53">
        <v>0</v>
      </c>
      <c r="M147" s="53">
        <v>0</v>
      </c>
      <c r="N147" s="56">
        <f>211000/2</f>
        <v>105500</v>
      </c>
      <c r="O147" s="41">
        <f>F147+J147+N147</f>
        <v>316500</v>
      </c>
      <c r="P147" s="80"/>
    </row>
    <row r="148" spans="2:16" ht="18" x14ac:dyDescent="0.35">
      <c r="B148" s="53" t="s">
        <v>146</v>
      </c>
      <c r="C148" s="53">
        <v>0</v>
      </c>
      <c r="D148" s="53">
        <v>0</v>
      </c>
      <c r="E148" s="53">
        <v>0</v>
      </c>
      <c r="F148" s="53">
        <v>0</v>
      </c>
      <c r="G148" s="107">
        <v>0</v>
      </c>
      <c r="H148" s="107">
        <v>0</v>
      </c>
      <c r="I148" s="107">
        <v>0</v>
      </c>
      <c r="J148" s="105">
        <v>211000</v>
      </c>
      <c r="K148" s="53">
        <v>0</v>
      </c>
      <c r="L148" s="53">
        <v>0</v>
      </c>
      <c r="M148" s="53">
        <v>0</v>
      </c>
      <c r="N148" s="56">
        <f>211000/2</f>
        <v>105500</v>
      </c>
      <c r="O148" s="41">
        <f>F148+J148+N148</f>
        <v>316500</v>
      </c>
      <c r="P148" s="80"/>
    </row>
    <row r="149" spans="2:16" ht="18" x14ac:dyDescent="0.35">
      <c r="B149" s="53" t="s">
        <v>147</v>
      </c>
      <c r="C149" s="53">
        <v>0</v>
      </c>
      <c r="D149" s="53">
        <v>0</v>
      </c>
      <c r="E149" s="53">
        <v>0</v>
      </c>
      <c r="F149" s="56">
        <f>35087.710936/2</f>
        <v>17543.855468000002</v>
      </c>
      <c r="G149" s="107">
        <v>0</v>
      </c>
      <c r="H149" s="107">
        <v>0</v>
      </c>
      <c r="I149" s="104">
        <v>0</v>
      </c>
      <c r="J149" s="105">
        <v>35087.710935999996</v>
      </c>
      <c r="K149" s="53">
        <v>0</v>
      </c>
      <c r="L149" s="53">
        <v>0</v>
      </c>
      <c r="M149" s="53">
        <v>0</v>
      </c>
      <c r="N149" s="56">
        <v>17543.855468000002</v>
      </c>
      <c r="O149" s="41">
        <f t="shared" si="49"/>
        <v>70175.421872000006</v>
      </c>
      <c r="P149" s="80"/>
    </row>
    <row r="150" spans="2:16" ht="18" x14ac:dyDescent="0.35">
      <c r="B150" s="53" t="s">
        <v>148</v>
      </c>
      <c r="C150" s="53">
        <v>0</v>
      </c>
      <c r="D150" s="53">
        <v>0</v>
      </c>
      <c r="E150" s="53">
        <v>0</v>
      </c>
      <c r="F150" s="56">
        <f>20745.78392/2</f>
        <v>10372.891960000001</v>
      </c>
      <c r="G150" s="107">
        <v>0</v>
      </c>
      <c r="H150" s="107">
        <v>0</v>
      </c>
      <c r="I150" s="104">
        <v>0</v>
      </c>
      <c r="J150" s="105">
        <v>20745.783920000002</v>
      </c>
      <c r="K150" s="53">
        <v>0</v>
      </c>
      <c r="L150" s="53">
        <v>0</v>
      </c>
      <c r="M150" s="53">
        <v>0</v>
      </c>
      <c r="N150" s="56">
        <v>10372.891960000001</v>
      </c>
      <c r="O150" s="41">
        <f t="shared" si="49"/>
        <v>41491.567840000003</v>
      </c>
      <c r="P150" s="80"/>
    </row>
    <row r="151" spans="2:16" ht="18" x14ac:dyDescent="0.35">
      <c r="B151" s="53" t="s">
        <v>151</v>
      </c>
      <c r="C151" s="53">
        <v>0</v>
      </c>
      <c r="D151" s="53">
        <v>0</v>
      </c>
      <c r="E151" s="53">
        <v>0</v>
      </c>
      <c r="F151" s="54">
        <v>50000</v>
      </c>
      <c r="G151" s="104">
        <v>0</v>
      </c>
      <c r="H151" s="104">
        <v>0</v>
      </c>
      <c r="I151" s="104">
        <v>0</v>
      </c>
      <c r="J151" s="89">
        <v>100000</v>
      </c>
      <c r="K151" s="18">
        <v>0</v>
      </c>
      <c r="L151" s="18">
        <v>0</v>
      </c>
      <c r="M151" s="41">
        <v>0</v>
      </c>
      <c r="N151" s="41">
        <v>100000</v>
      </c>
      <c r="O151" s="41">
        <f t="shared" si="49"/>
        <v>250000</v>
      </c>
      <c r="P151" s="80"/>
    </row>
    <row r="152" spans="2:16" s="1" customFormat="1" ht="20.399999999999999" customHeight="1" x14ac:dyDescent="0.35">
      <c r="B152" s="30" t="s">
        <v>98</v>
      </c>
      <c r="C152" s="35">
        <f t="shared" ref="C152:O152" si="50">SUM(C137:C151)</f>
        <v>0</v>
      </c>
      <c r="D152" s="35">
        <f t="shared" si="50"/>
        <v>0</v>
      </c>
      <c r="E152" s="35">
        <f t="shared" si="50"/>
        <v>0</v>
      </c>
      <c r="F152" s="35">
        <f t="shared" si="50"/>
        <v>433447.43334200006</v>
      </c>
      <c r="G152" s="106">
        <f t="shared" si="50"/>
        <v>0</v>
      </c>
      <c r="H152" s="106">
        <f t="shared" si="50"/>
        <v>0</v>
      </c>
      <c r="I152" s="106">
        <f t="shared" si="50"/>
        <v>0</v>
      </c>
      <c r="J152" s="106">
        <f t="shared" si="50"/>
        <v>1805726.7237</v>
      </c>
      <c r="K152" s="35">
        <f t="shared" si="50"/>
        <v>0</v>
      </c>
      <c r="L152" s="35">
        <f t="shared" si="50"/>
        <v>0</v>
      </c>
      <c r="M152" s="35">
        <f t="shared" si="50"/>
        <v>0</v>
      </c>
      <c r="N152" s="35">
        <f t="shared" si="50"/>
        <v>952863.36184999999</v>
      </c>
      <c r="O152" s="35">
        <f t="shared" si="50"/>
        <v>3192037.5188920004</v>
      </c>
      <c r="P152" s="80"/>
    </row>
    <row r="153" spans="2:16" s="1" customFormat="1" ht="18" x14ac:dyDescent="0.35">
      <c r="B153" s="134" t="s">
        <v>88</v>
      </c>
      <c r="C153" s="135"/>
      <c r="D153" s="135"/>
      <c r="E153" s="135"/>
      <c r="F153" s="135"/>
      <c r="G153" s="135"/>
      <c r="H153" s="135"/>
      <c r="I153" s="135"/>
      <c r="J153" s="135"/>
      <c r="K153" s="135"/>
      <c r="L153" s="135"/>
      <c r="M153" s="135"/>
      <c r="N153" s="135"/>
      <c r="O153" s="136"/>
      <c r="P153" s="80"/>
    </row>
    <row r="154" spans="2:16" ht="18" x14ac:dyDescent="0.35">
      <c r="B154" s="53" t="s">
        <v>78</v>
      </c>
      <c r="C154" s="53">
        <v>0</v>
      </c>
      <c r="D154" s="53">
        <f>19241.9580512821/2</f>
        <v>9620.9790256410506</v>
      </c>
      <c r="E154" s="53">
        <v>0</v>
      </c>
      <c r="F154" s="56">
        <f>SUM(C154:E154)</f>
        <v>9620.9790256410506</v>
      </c>
      <c r="G154" s="104">
        <v>0</v>
      </c>
      <c r="H154" s="107">
        <v>19241.95805128205</v>
      </c>
      <c r="I154" s="104">
        <v>0</v>
      </c>
      <c r="J154" s="105">
        <f>SUM(G154:I154)</f>
        <v>19241.95805128205</v>
      </c>
      <c r="K154" s="18">
        <v>0</v>
      </c>
      <c r="L154" s="53">
        <v>9620.9790256410506</v>
      </c>
      <c r="M154" s="18">
        <v>0</v>
      </c>
      <c r="N154" s="56">
        <f t="shared" ref="N154:N162" si="51">SUM(K154:M154)</f>
        <v>9620.9790256410506</v>
      </c>
      <c r="O154" s="41">
        <f>F154+J154+N154</f>
        <v>38483.916102564152</v>
      </c>
      <c r="P154" s="80"/>
    </row>
    <row r="155" spans="2:16" ht="18" x14ac:dyDescent="0.35">
      <c r="B155" s="53" t="s">
        <v>79</v>
      </c>
      <c r="C155" s="53">
        <v>0</v>
      </c>
      <c r="D155" s="53">
        <f>12001.7996102564/2</f>
        <v>6000.8998051281997</v>
      </c>
      <c r="E155" s="53">
        <v>0</v>
      </c>
      <c r="F155" s="56">
        <f t="shared" ref="F155:F162" si="52">SUM(C155:E155)</f>
        <v>6000.8998051281997</v>
      </c>
      <c r="G155" s="104">
        <v>0</v>
      </c>
      <c r="H155" s="107">
        <v>12001.79961025641</v>
      </c>
      <c r="I155" s="104">
        <v>0</v>
      </c>
      <c r="J155" s="105">
        <f t="shared" ref="J155:J162" si="53">SUM(G155:I155)</f>
        <v>12001.79961025641</v>
      </c>
      <c r="K155" s="18">
        <v>0</v>
      </c>
      <c r="L155" s="53">
        <v>6000.8998051281997</v>
      </c>
      <c r="M155" s="18">
        <v>0</v>
      </c>
      <c r="N155" s="56">
        <f t="shared" si="51"/>
        <v>6000.8998051281997</v>
      </c>
      <c r="O155" s="41">
        <f t="shared" ref="O155:O163" si="54">F155+J155+N155</f>
        <v>24003.59922051281</v>
      </c>
      <c r="P155" s="80"/>
    </row>
    <row r="156" spans="2:16" ht="18" x14ac:dyDescent="0.35">
      <c r="B156" s="53" t="s">
        <v>80</v>
      </c>
      <c r="C156" s="53">
        <v>0</v>
      </c>
      <c r="D156" s="53">
        <f>7096.12064615384/2</f>
        <v>3548.0603230769202</v>
      </c>
      <c r="E156" s="53">
        <v>0</v>
      </c>
      <c r="F156" s="56">
        <f t="shared" si="52"/>
        <v>3548.0603230769202</v>
      </c>
      <c r="G156" s="104">
        <v>0</v>
      </c>
      <c r="H156" s="107">
        <v>7096.120646153845</v>
      </c>
      <c r="I156" s="104"/>
      <c r="J156" s="105">
        <f t="shared" si="53"/>
        <v>7096.120646153845</v>
      </c>
      <c r="K156" s="18">
        <v>0</v>
      </c>
      <c r="L156" s="53">
        <v>3548.0603230769202</v>
      </c>
      <c r="M156" s="18">
        <v>0</v>
      </c>
      <c r="N156" s="56">
        <f t="shared" si="51"/>
        <v>3548.0603230769202</v>
      </c>
      <c r="O156" s="41">
        <f t="shared" si="54"/>
        <v>14192.241292307684</v>
      </c>
      <c r="P156" s="80"/>
    </row>
    <row r="157" spans="2:16" ht="18" x14ac:dyDescent="0.35">
      <c r="B157" s="53" t="s">
        <v>81</v>
      </c>
      <c r="C157" s="53">
        <f>28127.3/2</f>
        <v>14063.65</v>
      </c>
      <c r="D157" s="53">
        <v>0</v>
      </c>
      <c r="E157" s="53">
        <v>0</v>
      </c>
      <c r="F157" s="56">
        <f t="shared" si="52"/>
        <v>14063.65</v>
      </c>
      <c r="G157" s="107">
        <v>28127.3</v>
      </c>
      <c r="H157" s="104">
        <v>0</v>
      </c>
      <c r="I157" s="104">
        <v>0</v>
      </c>
      <c r="J157" s="105">
        <f t="shared" si="53"/>
        <v>28127.3</v>
      </c>
      <c r="K157" s="53">
        <v>14063.65</v>
      </c>
      <c r="L157" s="18">
        <v>0</v>
      </c>
      <c r="M157" s="18">
        <v>0</v>
      </c>
      <c r="N157" s="56">
        <f t="shared" si="51"/>
        <v>14063.65</v>
      </c>
      <c r="O157" s="41">
        <f t="shared" si="54"/>
        <v>56254.6</v>
      </c>
      <c r="P157" s="80"/>
    </row>
    <row r="158" spans="2:16" ht="18" x14ac:dyDescent="0.35">
      <c r="B158" s="53" t="s">
        <v>82</v>
      </c>
      <c r="C158" s="53">
        <f>17543.86/2</f>
        <v>8771.93</v>
      </c>
      <c r="D158" s="53">
        <v>0</v>
      </c>
      <c r="E158" s="53">
        <v>0</v>
      </c>
      <c r="F158" s="56">
        <f t="shared" si="52"/>
        <v>8771.93</v>
      </c>
      <c r="G158" s="107">
        <v>17543.86</v>
      </c>
      <c r="H158" s="104">
        <v>0</v>
      </c>
      <c r="I158" s="104">
        <v>0</v>
      </c>
      <c r="J158" s="105">
        <f t="shared" si="53"/>
        <v>17543.86</v>
      </c>
      <c r="K158" s="53">
        <v>8771.93</v>
      </c>
      <c r="L158" s="18">
        <v>0</v>
      </c>
      <c r="M158" s="18">
        <v>0</v>
      </c>
      <c r="N158" s="56">
        <f t="shared" si="51"/>
        <v>8771.93</v>
      </c>
      <c r="O158" s="41">
        <f t="shared" si="54"/>
        <v>35087.72</v>
      </c>
      <c r="P158" s="80"/>
    </row>
    <row r="159" spans="2:16" ht="18" x14ac:dyDescent="0.35">
      <c r="B159" s="53" t="s">
        <v>83</v>
      </c>
      <c r="C159" s="53">
        <f>10372.89/2</f>
        <v>5186.4449999999997</v>
      </c>
      <c r="D159" s="53">
        <v>0</v>
      </c>
      <c r="E159" s="53">
        <v>0</v>
      </c>
      <c r="F159" s="56">
        <f t="shared" si="52"/>
        <v>5186.4449999999997</v>
      </c>
      <c r="G159" s="107">
        <v>10372.89</v>
      </c>
      <c r="H159" s="104">
        <v>0</v>
      </c>
      <c r="I159" s="104">
        <v>0</v>
      </c>
      <c r="J159" s="105">
        <f t="shared" si="53"/>
        <v>10372.89</v>
      </c>
      <c r="K159" s="53">
        <v>5186.4449999999997</v>
      </c>
      <c r="L159" s="18">
        <v>0</v>
      </c>
      <c r="M159" s="18">
        <v>0</v>
      </c>
      <c r="N159" s="56">
        <f t="shared" si="51"/>
        <v>5186.4449999999997</v>
      </c>
      <c r="O159" s="41">
        <f t="shared" si="54"/>
        <v>20745.78</v>
      </c>
      <c r="P159" s="80"/>
    </row>
    <row r="160" spans="2:16" ht="18" x14ac:dyDescent="0.35">
      <c r="B160" s="53" t="s">
        <v>84</v>
      </c>
      <c r="C160" s="53">
        <v>0</v>
      </c>
      <c r="D160" s="53">
        <v>0</v>
      </c>
      <c r="E160" s="53">
        <f>28127.303716/2</f>
        <v>14063.651857999999</v>
      </c>
      <c r="F160" s="56">
        <f t="shared" si="52"/>
        <v>14063.651857999999</v>
      </c>
      <c r="G160" s="104">
        <v>0</v>
      </c>
      <c r="H160" s="108">
        <v>0</v>
      </c>
      <c r="I160" s="104">
        <v>28127.303716000002</v>
      </c>
      <c r="J160" s="105">
        <f t="shared" si="53"/>
        <v>28127.303716000002</v>
      </c>
      <c r="K160" s="18">
        <v>0</v>
      </c>
      <c r="L160" s="50">
        <v>0</v>
      </c>
      <c r="M160" s="18">
        <v>14063.651857999999</v>
      </c>
      <c r="N160" s="56">
        <f t="shared" si="51"/>
        <v>14063.651857999999</v>
      </c>
      <c r="O160" s="41">
        <f t="shared" si="54"/>
        <v>56254.607431999997</v>
      </c>
      <c r="P160" s="80"/>
    </row>
    <row r="161" spans="2:16" ht="18" x14ac:dyDescent="0.35">
      <c r="B161" s="53" t="s">
        <v>85</v>
      </c>
      <c r="C161" s="53">
        <v>0</v>
      </c>
      <c r="D161" s="53">
        <v>0</v>
      </c>
      <c r="E161" s="53">
        <f>17543.855468/2</f>
        <v>8771.9277340000008</v>
      </c>
      <c r="F161" s="56">
        <f t="shared" si="52"/>
        <v>8771.9277340000008</v>
      </c>
      <c r="G161" s="104">
        <v>0</v>
      </c>
      <c r="H161" s="108">
        <v>0</v>
      </c>
      <c r="I161" s="104">
        <v>17543.855467999998</v>
      </c>
      <c r="J161" s="105">
        <f t="shared" si="53"/>
        <v>17543.855467999998</v>
      </c>
      <c r="K161" s="18">
        <v>0</v>
      </c>
      <c r="L161" s="50">
        <v>0</v>
      </c>
      <c r="M161" s="18">
        <v>8771.9277340000008</v>
      </c>
      <c r="N161" s="56">
        <f t="shared" si="51"/>
        <v>8771.9277340000008</v>
      </c>
      <c r="O161" s="41">
        <f t="shared" si="54"/>
        <v>35087.710936000003</v>
      </c>
      <c r="P161" s="80"/>
    </row>
    <row r="162" spans="2:16" ht="18" x14ac:dyDescent="0.35">
      <c r="B162" s="53" t="s">
        <v>86</v>
      </c>
      <c r="C162" s="53">
        <v>0</v>
      </c>
      <c r="D162" s="53">
        <v>0</v>
      </c>
      <c r="E162" s="53">
        <f>8608.4087/2</f>
        <v>4304.20435</v>
      </c>
      <c r="F162" s="56">
        <f t="shared" si="52"/>
        <v>4304.20435</v>
      </c>
      <c r="G162" s="104">
        <v>0</v>
      </c>
      <c r="H162" s="108">
        <v>0</v>
      </c>
      <c r="I162" s="104">
        <v>8608.4087</v>
      </c>
      <c r="J162" s="105">
        <f t="shared" si="53"/>
        <v>8608.4087</v>
      </c>
      <c r="K162" s="18">
        <v>0</v>
      </c>
      <c r="L162" s="50">
        <v>0</v>
      </c>
      <c r="M162" s="18">
        <v>4304.20435</v>
      </c>
      <c r="N162" s="56">
        <f t="shared" si="51"/>
        <v>4304.20435</v>
      </c>
      <c r="O162" s="41">
        <f t="shared" si="54"/>
        <v>17216.8174</v>
      </c>
      <c r="P162" s="80"/>
    </row>
    <row r="163" spans="2:16" ht="29.4" customHeight="1" x14ac:dyDescent="0.35">
      <c r="B163" s="53" t="s">
        <v>94</v>
      </c>
      <c r="C163" s="53">
        <v>0</v>
      </c>
      <c r="D163" s="53">
        <v>0</v>
      </c>
      <c r="E163" s="53">
        <v>0</v>
      </c>
      <c r="F163" s="54">
        <f t="shared" ref="F163" si="55">SUM(C163:E163)</f>
        <v>0</v>
      </c>
      <c r="G163" s="104">
        <v>16666.5</v>
      </c>
      <c r="H163" s="104">
        <v>16666.5</v>
      </c>
      <c r="I163" s="104">
        <v>16666.8</v>
      </c>
      <c r="J163" s="89">
        <f>SUM(G163:I163)</f>
        <v>49999.8</v>
      </c>
      <c r="K163" s="18">
        <v>0</v>
      </c>
      <c r="L163" s="18">
        <v>0</v>
      </c>
      <c r="M163" s="18">
        <v>0</v>
      </c>
      <c r="N163" s="56">
        <v>50000</v>
      </c>
      <c r="O163" s="41">
        <f t="shared" si="54"/>
        <v>99999.8</v>
      </c>
      <c r="P163" s="80"/>
    </row>
    <row r="164" spans="2:16" ht="19.350000000000001" customHeight="1" x14ac:dyDescent="0.35">
      <c r="B164" s="30" t="s">
        <v>98</v>
      </c>
      <c r="C164" s="35">
        <f>SUM(C154:C163)</f>
        <v>28022.025000000001</v>
      </c>
      <c r="D164" s="35">
        <f t="shared" ref="D164:F164" si="56">SUM(D154:D163)</f>
        <v>19169.939153846171</v>
      </c>
      <c r="E164" s="35">
        <f t="shared" si="56"/>
        <v>27139.783942000002</v>
      </c>
      <c r="F164" s="35">
        <f t="shared" si="56"/>
        <v>74331.748095846167</v>
      </c>
      <c r="G164" s="106">
        <f>SUM(G154:G163)</f>
        <v>72710.55</v>
      </c>
      <c r="H164" s="106">
        <f t="shared" ref="H164:I164" si="57">SUM(H154:H163)</f>
        <v>55006.378307692306</v>
      </c>
      <c r="I164" s="106">
        <f t="shared" si="57"/>
        <v>70946.367884000007</v>
      </c>
      <c r="J164" s="106">
        <f>SUM(J154:J163)</f>
        <v>198663.29619169229</v>
      </c>
      <c r="K164" s="35">
        <f t="shared" ref="K164:M164" si="58">SUM(K154:K163)</f>
        <v>28022.025000000001</v>
      </c>
      <c r="L164" s="35">
        <f t="shared" si="58"/>
        <v>19169.939153846171</v>
      </c>
      <c r="M164" s="35">
        <f t="shared" si="58"/>
        <v>27139.783942000002</v>
      </c>
      <c r="N164" s="35">
        <f>SUM(N154:N163)</f>
        <v>124331.74809584617</v>
      </c>
      <c r="O164" s="35">
        <f t="shared" ref="O164" si="59">SUM(O154:O163)</f>
        <v>397326.79238338466</v>
      </c>
      <c r="P164" s="80"/>
    </row>
    <row r="165" spans="2:16" s="1" customFormat="1" ht="19.649999999999999" customHeight="1" x14ac:dyDescent="0.35">
      <c r="B165" s="62" t="s">
        <v>95</v>
      </c>
      <c r="C165" s="63">
        <f>C164+C152+C135</f>
        <v>86422.024999999994</v>
      </c>
      <c r="D165" s="63">
        <f t="shared" ref="D165:O165" si="60">D164+D152+D135</f>
        <v>92193.939153846179</v>
      </c>
      <c r="E165" s="63">
        <f t="shared" si="60"/>
        <v>67139.783942000009</v>
      </c>
      <c r="F165" s="63">
        <f t="shared" si="60"/>
        <v>679203.18143784627</v>
      </c>
      <c r="G165" s="109">
        <f t="shared" si="60"/>
        <v>72710.55</v>
      </c>
      <c r="H165" s="109">
        <f t="shared" si="60"/>
        <v>55006.378307692306</v>
      </c>
      <c r="I165" s="109">
        <f t="shared" si="60"/>
        <v>70946.367884000007</v>
      </c>
      <c r="J165" s="109">
        <f t="shared" si="60"/>
        <v>2239390.0198916923</v>
      </c>
      <c r="K165" s="63">
        <f t="shared" si="60"/>
        <v>28022.025000000001</v>
      </c>
      <c r="L165" s="63">
        <f t="shared" si="60"/>
        <v>19169.939153846171</v>
      </c>
      <c r="M165" s="63">
        <f t="shared" si="60"/>
        <v>27139.783942000002</v>
      </c>
      <c r="N165" s="63">
        <f t="shared" si="60"/>
        <v>1322195.1099458463</v>
      </c>
      <c r="O165" s="63">
        <f t="shared" si="60"/>
        <v>4240788.3112753853</v>
      </c>
      <c r="P165" s="80"/>
    </row>
    <row r="166" spans="2:16" s="81" customFormat="1" ht="18" x14ac:dyDescent="0.35">
      <c r="B166" s="79" t="s">
        <v>161</v>
      </c>
      <c r="C166" s="82">
        <f>C164+C152+C135+C127+C120+C112+C105+C92+C87+C69+C61+C34+C25+C15</f>
        <v>2499022.0249999999</v>
      </c>
      <c r="D166" s="82">
        <f t="shared" ref="D166:O166" si="61">D164+D152+D135+D127+D120+D112+D105+D92+D87+D69+D61+D34+D25+D15</f>
        <v>6669020.9391538464</v>
      </c>
      <c r="E166" s="82">
        <f t="shared" si="61"/>
        <v>7805539.783942</v>
      </c>
      <c r="F166" s="82">
        <f t="shared" si="61"/>
        <v>17407030.181437846</v>
      </c>
      <c r="G166" s="110">
        <f t="shared" si="61"/>
        <v>13636363.425000001</v>
      </c>
      <c r="H166" s="110">
        <f t="shared" si="61"/>
        <v>23598262.49583333</v>
      </c>
      <c r="I166" s="110">
        <f t="shared" si="61"/>
        <v>39850406.867884003</v>
      </c>
      <c r="J166" s="110">
        <f t="shared" si="61"/>
        <v>79125759.512417346</v>
      </c>
      <c r="K166" s="82">
        <f t="shared" si="61"/>
        <v>13591674.9</v>
      </c>
      <c r="L166" s="82">
        <f t="shared" si="61"/>
        <v>23562426.056679487</v>
      </c>
      <c r="M166" s="82">
        <f t="shared" si="61"/>
        <v>39806600.283941999</v>
      </c>
      <c r="N166" s="82">
        <f t="shared" si="61"/>
        <v>78208564.602471486</v>
      </c>
      <c r="O166" s="82">
        <f t="shared" si="61"/>
        <v>174741354.29632667</v>
      </c>
      <c r="P166" s="80"/>
    </row>
    <row r="167" spans="2:16" s="12" customFormat="1" ht="18" x14ac:dyDescent="0.35">
      <c r="B167" s="57" t="s">
        <v>74</v>
      </c>
      <c r="C167" s="83"/>
      <c r="D167" s="83"/>
      <c r="E167" s="83"/>
      <c r="F167" s="84">
        <f t="shared" ref="F167:N167" si="62">F166*0.05</f>
        <v>870351.50907189236</v>
      </c>
      <c r="G167" s="111">
        <f t="shared" si="62"/>
        <v>681818.17125000013</v>
      </c>
      <c r="H167" s="111">
        <f t="shared" si="62"/>
        <v>1179913.1247916666</v>
      </c>
      <c r="I167" s="111">
        <f t="shared" si="62"/>
        <v>1992520.3433942003</v>
      </c>
      <c r="J167" s="112">
        <f t="shared" si="62"/>
        <v>3956287.9756208677</v>
      </c>
      <c r="K167" s="83">
        <f t="shared" si="62"/>
        <v>679583.74500000011</v>
      </c>
      <c r="L167" s="83">
        <f t="shared" si="62"/>
        <v>1178121.3028339744</v>
      </c>
      <c r="M167" s="83">
        <f t="shared" si="62"/>
        <v>1990330.0141971</v>
      </c>
      <c r="N167" s="84">
        <f t="shared" si="62"/>
        <v>3910428.2301235744</v>
      </c>
      <c r="O167" s="84">
        <f>O166*0.05</f>
        <v>8737067.7148163337</v>
      </c>
      <c r="P167" s="80"/>
    </row>
    <row r="168" spans="2:16" s="12" customFormat="1" ht="18" x14ac:dyDescent="0.35">
      <c r="B168" s="57" t="s">
        <v>75</v>
      </c>
      <c r="C168" s="83"/>
      <c r="D168" s="83"/>
      <c r="E168" s="83"/>
      <c r="F168" s="84">
        <f t="shared" ref="F168:N168" si="63">F166*0.08</f>
        <v>1392562.4145150278</v>
      </c>
      <c r="G168" s="111">
        <f t="shared" si="63"/>
        <v>1090909.074</v>
      </c>
      <c r="H168" s="111">
        <f t="shared" si="63"/>
        <v>1887860.9996666664</v>
      </c>
      <c r="I168" s="111">
        <f t="shared" si="63"/>
        <v>3188032.5494307205</v>
      </c>
      <c r="J168" s="112">
        <f t="shared" si="63"/>
        <v>6330060.7609933876</v>
      </c>
      <c r="K168" s="83">
        <f t="shared" si="63"/>
        <v>1087333.9920000001</v>
      </c>
      <c r="L168" s="83">
        <f t="shared" si="63"/>
        <v>1884994.0845343589</v>
      </c>
      <c r="M168" s="83">
        <f t="shared" si="63"/>
        <v>3184528.0227153599</v>
      </c>
      <c r="N168" s="84">
        <f t="shared" si="63"/>
        <v>6256685.1681977194</v>
      </c>
      <c r="O168" s="84">
        <f>O166*0.08</f>
        <v>13979308.343706133</v>
      </c>
      <c r="P168" s="80"/>
    </row>
    <row r="169" spans="2:16" s="12" customFormat="1" ht="18" x14ac:dyDescent="0.35">
      <c r="B169" s="57" t="s">
        <v>76</v>
      </c>
      <c r="C169" s="83"/>
      <c r="D169" s="83"/>
      <c r="E169" s="83"/>
      <c r="F169" s="84">
        <f t="shared" ref="F169:O169" si="64">(F166+F167+F168)*0.01</f>
        <v>196699.4410502477</v>
      </c>
      <c r="G169" s="111">
        <f t="shared" si="64"/>
        <v>154090.90670250004</v>
      </c>
      <c r="H169" s="111">
        <f t="shared" si="64"/>
        <v>266660.3662029166</v>
      </c>
      <c r="I169" s="111">
        <f t="shared" si="64"/>
        <v>450309.59760708921</v>
      </c>
      <c r="J169" s="112">
        <f t="shared" si="64"/>
        <v>894121.08249031601</v>
      </c>
      <c r="K169" s="83">
        <f t="shared" si="64"/>
        <v>153585.92637</v>
      </c>
      <c r="L169" s="83">
        <f t="shared" si="64"/>
        <v>266255.4144404782</v>
      </c>
      <c r="M169" s="83">
        <f t="shared" si="64"/>
        <v>449814.58320854459</v>
      </c>
      <c r="N169" s="84">
        <f t="shared" si="64"/>
        <v>883756.78000792791</v>
      </c>
      <c r="O169" s="84">
        <f t="shared" si="64"/>
        <v>1974577.3035484913</v>
      </c>
      <c r="P169" s="80"/>
    </row>
    <row r="170" spans="2:16" ht="42.6" customHeight="1" x14ac:dyDescent="0.45">
      <c r="B170" s="64" t="s">
        <v>77</v>
      </c>
      <c r="C170" s="77"/>
      <c r="D170" s="77"/>
      <c r="E170" s="77"/>
      <c r="F170" s="65">
        <f>F166+F167+F168+F169</f>
        <v>19866643.546075016</v>
      </c>
      <c r="G170" s="113">
        <f t="shared" ref="G170:K170" si="65">G166+G167+G168+G169</f>
        <v>15563181.576952502</v>
      </c>
      <c r="H170" s="113">
        <f t="shared" si="65"/>
        <v>26932696.986494578</v>
      </c>
      <c r="I170" s="113">
        <f t="shared" si="65"/>
        <v>45481269.358316012</v>
      </c>
      <c r="J170" s="113">
        <f t="shared" si="65"/>
        <v>90306229.331521913</v>
      </c>
      <c r="K170" s="65">
        <f t="shared" si="65"/>
        <v>15512178.563370001</v>
      </c>
      <c r="L170" s="65">
        <f>L166+L167+L168+L169</f>
        <v>26891796.858488299</v>
      </c>
      <c r="M170" s="65">
        <f t="shared" ref="M170:O170" si="66">M166+M167+M168+M169</f>
        <v>45431272.904063001</v>
      </c>
      <c r="N170" s="65">
        <f t="shared" si="66"/>
        <v>89259434.780800715</v>
      </c>
      <c r="O170" s="65">
        <f t="shared" si="66"/>
        <v>199432307.65839761</v>
      </c>
    </row>
    <row r="172" spans="2:16" ht="18" x14ac:dyDescent="0.35">
      <c r="B172" s="75" t="s">
        <v>152</v>
      </c>
      <c r="C172" s="17"/>
      <c r="D172" s="17"/>
      <c r="E172" s="17"/>
      <c r="F172" s="17"/>
      <c r="J172" s="115"/>
      <c r="K172" s="17"/>
      <c r="L172" s="17"/>
      <c r="M172" s="17"/>
      <c r="N172" s="78"/>
      <c r="O172" s="78"/>
      <c r="P172" s="17"/>
    </row>
    <row r="173" spans="2:16" x14ac:dyDescent="0.3">
      <c r="B173"/>
      <c r="C173" s="20"/>
      <c r="D173" s="20"/>
      <c r="E173" s="20"/>
      <c r="F173" s="20"/>
      <c r="G173" s="116"/>
      <c r="H173" s="116"/>
      <c r="I173" s="116"/>
      <c r="J173" s="115"/>
      <c r="K173" s="17"/>
      <c r="L173" s="17"/>
      <c r="M173" s="17"/>
      <c r="N173" s="78"/>
      <c r="O173" s="78"/>
    </row>
    <row r="174" spans="2:16" s="13" customFormat="1" ht="15.6" x14ac:dyDescent="0.3">
      <c r="B174" s="74" t="s">
        <v>160</v>
      </c>
      <c r="C174" s="21"/>
      <c r="D174" s="21"/>
      <c r="E174" s="21"/>
      <c r="F174" s="29"/>
      <c r="G174" s="117"/>
      <c r="H174" s="117"/>
      <c r="I174" s="118"/>
      <c r="J174" s="119"/>
      <c r="N174" s="15"/>
      <c r="O174" s="15"/>
    </row>
    <row r="175" spans="2:16" s="13" customFormat="1" ht="15.6" x14ac:dyDescent="0.3">
      <c r="B175" s="74" t="s">
        <v>153</v>
      </c>
      <c r="C175" s="21"/>
      <c r="D175" s="21"/>
      <c r="E175" s="21"/>
      <c r="F175" s="29"/>
      <c r="G175" s="117"/>
      <c r="H175" s="117"/>
      <c r="I175" s="118"/>
      <c r="J175" s="119"/>
      <c r="N175" s="15"/>
      <c r="O175" s="15"/>
    </row>
    <row r="176" spans="2:16" s="13" customFormat="1" ht="28.65" customHeight="1" x14ac:dyDescent="0.3">
      <c r="B176" s="137" t="s">
        <v>164</v>
      </c>
      <c r="C176" s="137"/>
      <c r="D176" s="137"/>
      <c r="E176" s="137"/>
      <c r="F176" s="137"/>
      <c r="G176" s="137"/>
      <c r="H176" s="137"/>
      <c r="I176" s="137"/>
      <c r="J176" s="137"/>
      <c r="K176" s="137"/>
      <c r="N176" s="15"/>
      <c r="O176" s="85"/>
    </row>
    <row r="177" spans="2:15" s="23" customFormat="1" ht="18.600000000000001" customHeight="1" x14ac:dyDescent="0.3">
      <c r="B177" s="74" t="s">
        <v>154</v>
      </c>
      <c r="C177" s="24"/>
      <c r="D177" s="24"/>
      <c r="E177" s="24"/>
      <c r="F177" s="22"/>
      <c r="G177" s="120"/>
      <c r="H177" s="121"/>
      <c r="I177" s="122"/>
      <c r="J177" s="122"/>
    </row>
    <row r="178" spans="2:15" s="23" customFormat="1" ht="18.600000000000001" customHeight="1" x14ac:dyDescent="0.3">
      <c r="B178" s="76" t="s">
        <v>155</v>
      </c>
      <c r="C178" s="24"/>
      <c r="D178" s="24"/>
      <c r="E178" s="24"/>
      <c r="F178" s="22"/>
      <c r="G178" s="120"/>
      <c r="H178" s="121"/>
      <c r="I178" s="122"/>
      <c r="J178" s="122"/>
      <c r="O178" s="86"/>
    </row>
    <row r="179" spans="2:15" s="26" customFormat="1" x14ac:dyDescent="0.25">
      <c r="B179" s="76" t="s">
        <v>156</v>
      </c>
      <c r="G179" s="123"/>
      <c r="H179" s="123"/>
      <c r="I179" s="124"/>
      <c r="J179" s="124"/>
    </row>
    <row r="180" spans="2:15" s="25" customFormat="1" x14ac:dyDescent="0.25">
      <c r="B180" s="76" t="s">
        <v>157</v>
      </c>
      <c r="C180" s="26"/>
      <c r="D180" s="26"/>
      <c r="E180" s="27"/>
      <c r="G180" s="125"/>
      <c r="H180" s="125"/>
      <c r="I180" s="126"/>
      <c r="J180" s="126"/>
    </row>
    <row r="181" spans="2:15" s="25" customFormat="1" x14ac:dyDescent="0.25">
      <c r="B181" s="76" t="s">
        <v>158</v>
      </c>
      <c r="C181" s="26"/>
      <c r="D181" s="26"/>
      <c r="E181" s="27"/>
      <c r="G181" s="125"/>
      <c r="H181" s="125"/>
      <c r="I181" s="126"/>
      <c r="J181" s="126"/>
    </row>
    <row r="182" spans="2:15" s="25" customFormat="1" ht="17.399999999999999" customHeight="1" x14ac:dyDescent="0.25">
      <c r="B182" s="74" t="s">
        <v>159</v>
      </c>
      <c r="C182" s="26"/>
      <c r="D182" s="26"/>
      <c r="E182" s="27"/>
      <c r="G182" s="125"/>
      <c r="H182" s="125"/>
      <c r="I182" s="126"/>
      <c r="J182" s="126"/>
    </row>
    <row r="183" spans="2:15" x14ac:dyDescent="0.3">
      <c r="G183" s="127"/>
      <c r="H183" s="127"/>
    </row>
    <row r="184" spans="2:15" x14ac:dyDescent="0.3">
      <c r="B184" s="73"/>
      <c r="C184"/>
      <c r="D184"/>
      <c r="E184"/>
      <c r="F184" s="28"/>
      <c r="G184" s="127"/>
      <c r="H184" s="127"/>
    </row>
    <row r="185" spans="2:15" x14ac:dyDescent="0.3">
      <c r="B185"/>
      <c r="C185"/>
      <c r="D185"/>
      <c r="E185"/>
      <c r="F185" s="28"/>
      <c r="G185" s="127"/>
      <c r="H185" s="127"/>
    </row>
  </sheetData>
  <autoFilter ref="B2:O170" xr:uid="{6724E447-57A5-4EA4-83D5-066BA4E71D1E}"/>
  <mergeCells count="41">
    <mergeCell ref="B19:O19"/>
    <mergeCell ref="C1:F1"/>
    <mergeCell ref="G1:J1"/>
    <mergeCell ref="K1:N1"/>
    <mergeCell ref="O1:O2"/>
    <mergeCell ref="B3:O3"/>
    <mergeCell ref="B4:O4"/>
    <mergeCell ref="B5:O5"/>
    <mergeCell ref="B7:O7"/>
    <mergeCell ref="B13:O13"/>
    <mergeCell ref="B16:O16"/>
    <mergeCell ref="B17:O17"/>
    <mergeCell ref="B88:O88"/>
    <mergeCell ref="B26:O26"/>
    <mergeCell ref="B27:O27"/>
    <mergeCell ref="B36:O36"/>
    <mergeCell ref="B37:O37"/>
    <mergeCell ref="B38:O38"/>
    <mergeCell ref="B62:O62"/>
    <mergeCell ref="B63:O63"/>
    <mergeCell ref="B65:O65"/>
    <mergeCell ref="B70:O70"/>
    <mergeCell ref="B71:O71"/>
    <mergeCell ref="B79:O79"/>
    <mergeCell ref="B122:O122"/>
    <mergeCell ref="B89:O89"/>
    <mergeCell ref="B94:O94"/>
    <mergeCell ref="B95:O95"/>
    <mergeCell ref="B96:O96"/>
    <mergeCell ref="B100:O100"/>
    <mergeCell ref="B106:O106"/>
    <mergeCell ref="B107:O107"/>
    <mergeCell ref="B109:O109"/>
    <mergeCell ref="B113:O113"/>
    <mergeCell ref="B114:O114"/>
    <mergeCell ref="B116:O116"/>
    <mergeCell ref="B129:O129"/>
    <mergeCell ref="B130:O130"/>
    <mergeCell ref="B136:O136"/>
    <mergeCell ref="B153:O153"/>
    <mergeCell ref="B176:K176"/>
  </mergeCells>
  <pageMargins left="0.7" right="0.7" top="0.75" bottom="0.75" header="0.3" footer="0.3"/>
  <pageSetup paperSize="9" scale="42"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4E447-57A5-4EA4-83D5-066BA4E71D1E}">
  <sheetPr>
    <pageSetUpPr fitToPage="1"/>
  </sheetPr>
  <dimension ref="B1:Y185"/>
  <sheetViews>
    <sheetView tabSelected="1" topLeftCell="E1" zoomScale="72" zoomScaleNormal="72" workbookViewId="0">
      <pane ySplit="2" topLeftCell="A151" activePane="bottomLeft" state="frozen"/>
      <selection activeCell="B1" sqref="B1"/>
      <selection pane="bottomLeft" activeCell="O165" activeCellId="1" sqref="O167:O169 O165"/>
    </sheetView>
  </sheetViews>
  <sheetFormatPr defaultColWidth="8.88671875" defaultRowHeight="14.4" x14ac:dyDescent="0.3"/>
  <cols>
    <col min="1" max="1" width="3.44140625" style="2" customWidth="1"/>
    <col min="2" max="2" width="53.5546875" style="2" customWidth="1"/>
    <col min="3" max="5" width="13.88671875" style="2" customWidth="1"/>
    <col min="6" max="6" width="22.6640625" style="1" customWidth="1"/>
    <col min="7" max="7" width="23.44140625" style="193" customWidth="1"/>
    <col min="8" max="9" width="18.88671875" style="193" customWidth="1"/>
    <col min="10" max="10" width="19.5546875" style="195" customWidth="1"/>
    <col min="11" max="11" width="19.5546875" style="2" customWidth="1"/>
    <col min="12" max="12" width="19.109375" style="2" customWidth="1"/>
    <col min="13" max="13" width="19.5546875" style="2" customWidth="1"/>
    <col min="14" max="14" width="20.5546875" style="1" customWidth="1"/>
    <col min="15" max="15" width="20.88671875" style="1" customWidth="1"/>
    <col min="16" max="16" width="7.5546875" style="2" customWidth="1"/>
    <col min="17" max="16384" width="8.88671875" style="2"/>
  </cols>
  <sheetData>
    <row r="1" spans="2:25" s="1" customFormat="1" ht="24.6" customHeight="1" x14ac:dyDescent="0.4">
      <c r="B1" s="58"/>
      <c r="C1" s="164" t="s">
        <v>73</v>
      </c>
      <c r="D1" s="164"/>
      <c r="E1" s="164"/>
      <c r="F1" s="164"/>
      <c r="G1" s="164" t="s">
        <v>71</v>
      </c>
      <c r="H1" s="164"/>
      <c r="I1" s="164"/>
      <c r="J1" s="164"/>
      <c r="K1" s="166" t="s">
        <v>72</v>
      </c>
      <c r="L1" s="166"/>
      <c r="M1" s="166"/>
      <c r="N1" s="166"/>
      <c r="O1" s="167" t="s">
        <v>69</v>
      </c>
    </row>
    <row r="2" spans="2:25" s="1" customFormat="1" ht="22.5" customHeight="1" thickBot="1" x14ac:dyDescent="0.35">
      <c r="B2" s="59" t="s">
        <v>114</v>
      </c>
      <c r="C2" s="60" t="s">
        <v>0</v>
      </c>
      <c r="D2" s="60" t="s">
        <v>1</v>
      </c>
      <c r="E2" s="60" t="s">
        <v>2</v>
      </c>
      <c r="F2" s="60" t="s">
        <v>70</v>
      </c>
      <c r="G2" s="60" t="s">
        <v>0</v>
      </c>
      <c r="H2" s="60" t="s">
        <v>1</v>
      </c>
      <c r="I2" s="60" t="s">
        <v>2</v>
      </c>
      <c r="J2" s="60" t="s">
        <v>67</v>
      </c>
      <c r="K2" s="60" t="s">
        <v>0</v>
      </c>
      <c r="L2" s="60" t="s">
        <v>1</v>
      </c>
      <c r="M2" s="60" t="s">
        <v>2</v>
      </c>
      <c r="N2" s="60" t="s">
        <v>68</v>
      </c>
      <c r="O2" s="168"/>
    </row>
    <row r="3" spans="2:25" s="13" customFormat="1" ht="33.6" customHeight="1" thickTop="1" thickBot="1" x14ac:dyDescent="0.35">
      <c r="B3" s="169" t="s">
        <v>101</v>
      </c>
      <c r="C3" s="170"/>
      <c r="D3" s="170"/>
      <c r="E3" s="170"/>
      <c r="F3" s="170"/>
      <c r="G3" s="170"/>
      <c r="H3" s="170"/>
      <c r="I3" s="170"/>
      <c r="J3" s="170"/>
      <c r="K3" s="170"/>
      <c r="L3" s="170"/>
      <c r="M3" s="170"/>
      <c r="N3" s="170"/>
      <c r="O3" s="171"/>
    </row>
    <row r="4" spans="2:25" s="12" customFormat="1" ht="29.4" customHeight="1" thickTop="1" x14ac:dyDescent="0.3">
      <c r="B4" s="150" t="s">
        <v>96</v>
      </c>
      <c r="C4" s="151"/>
      <c r="D4" s="151"/>
      <c r="E4" s="151"/>
      <c r="F4" s="151"/>
      <c r="G4" s="151"/>
      <c r="H4" s="151"/>
      <c r="I4" s="151"/>
      <c r="J4" s="151"/>
      <c r="K4" s="151"/>
      <c r="L4" s="151"/>
      <c r="M4" s="151"/>
      <c r="N4" s="151"/>
      <c r="O4" s="152"/>
    </row>
    <row r="5" spans="2:25" ht="24" customHeight="1" x14ac:dyDescent="0.3">
      <c r="B5" s="144" t="s">
        <v>3</v>
      </c>
      <c r="C5" s="145"/>
      <c r="D5" s="145"/>
      <c r="E5" s="145"/>
      <c r="F5" s="145"/>
      <c r="G5" s="145"/>
      <c r="H5" s="145"/>
      <c r="I5" s="145"/>
      <c r="J5" s="145"/>
      <c r="K5" s="145"/>
      <c r="L5" s="145"/>
      <c r="M5" s="145"/>
      <c r="N5" s="145"/>
      <c r="O5" s="146"/>
    </row>
    <row r="6" spans="2:25" ht="24" customHeight="1" x14ac:dyDescent="0.35">
      <c r="B6" s="36" t="s">
        <v>4</v>
      </c>
      <c r="C6" s="36">
        <v>0</v>
      </c>
      <c r="D6" s="18">
        <v>55000</v>
      </c>
      <c r="E6" s="36">
        <v>0</v>
      </c>
      <c r="F6" s="37">
        <f>SUM(C6:E6)</f>
        <v>55000</v>
      </c>
      <c r="G6" s="172">
        <v>17500</v>
      </c>
      <c r="H6" s="172">
        <v>7179.4871794871797</v>
      </c>
      <c r="I6" s="172">
        <v>8750</v>
      </c>
      <c r="J6" s="173">
        <f>SUM(G6:I6)</f>
        <v>33429.48717948718</v>
      </c>
      <c r="K6" s="38">
        <v>17500</v>
      </c>
      <c r="L6" s="38">
        <v>7179.4871794871797</v>
      </c>
      <c r="M6" s="38">
        <v>8750</v>
      </c>
      <c r="N6" s="40">
        <f>SUM(K6:M6)</f>
        <v>33429.48717948718</v>
      </c>
      <c r="O6" s="41">
        <f>F6+J6+N6</f>
        <v>121858.97435897437</v>
      </c>
      <c r="P6" s="80"/>
    </row>
    <row r="7" spans="2:25" ht="21" customHeight="1" x14ac:dyDescent="0.35">
      <c r="B7" s="144" t="s">
        <v>5</v>
      </c>
      <c r="C7" s="145"/>
      <c r="D7" s="145"/>
      <c r="E7" s="145"/>
      <c r="F7" s="145"/>
      <c r="G7" s="145"/>
      <c r="H7" s="145"/>
      <c r="I7" s="145"/>
      <c r="J7" s="145"/>
      <c r="K7" s="145"/>
      <c r="L7" s="145"/>
      <c r="M7" s="145"/>
      <c r="N7" s="145"/>
      <c r="O7" s="146"/>
      <c r="P7" s="80"/>
    </row>
    <row r="8" spans="2:25" ht="30" customHeight="1" x14ac:dyDescent="0.35">
      <c r="B8" s="36" t="s">
        <v>6</v>
      </c>
      <c r="C8" s="36">
        <v>0</v>
      </c>
      <c r="D8" s="36">
        <v>74345</v>
      </c>
      <c r="E8" s="36">
        <v>0</v>
      </c>
      <c r="F8" s="37">
        <f t="shared" ref="F8:F24" si="0">SUM(C8:E8)</f>
        <v>74345</v>
      </c>
      <c r="G8" s="172">
        <v>9000</v>
      </c>
      <c r="H8" s="172">
        <v>19384.615384615383</v>
      </c>
      <c r="I8" s="172">
        <v>23437.5</v>
      </c>
      <c r="J8" s="173">
        <f t="shared" ref="J8:J60" si="1">SUM(G8:I8)</f>
        <v>51822.115384615383</v>
      </c>
      <c r="K8" s="38">
        <v>9000</v>
      </c>
      <c r="L8" s="38">
        <v>19384.615384615383</v>
      </c>
      <c r="M8" s="38">
        <v>23437.5</v>
      </c>
      <c r="N8" s="40">
        <f>SUM(K8:M8)</f>
        <v>51822.115384615383</v>
      </c>
      <c r="O8" s="41">
        <f t="shared" ref="O8:O60" si="2">F8+J8+N8</f>
        <v>177989.23076923075</v>
      </c>
      <c r="P8" s="80"/>
    </row>
    <row r="9" spans="2:25" ht="24" customHeight="1" x14ac:dyDescent="0.35">
      <c r="B9" s="42" t="s">
        <v>115</v>
      </c>
      <c r="C9" s="42">
        <f>18000+5000</f>
        <v>23000</v>
      </c>
      <c r="D9" s="36">
        <f>96262+37822</f>
        <v>134084</v>
      </c>
      <c r="E9" s="36">
        <f>96400+200000+100000+408075+100000</f>
        <v>904475</v>
      </c>
      <c r="F9" s="37">
        <f t="shared" si="0"/>
        <v>1061559</v>
      </c>
      <c r="G9" s="172">
        <v>18000</v>
      </c>
      <c r="H9" s="172">
        <v>38769.230769230766</v>
      </c>
      <c r="I9" s="172">
        <v>18750</v>
      </c>
      <c r="J9" s="173">
        <f t="shared" si="1"/>
        <v>75519.230769230766</v>
      </c>
      <c r="K9" s="38">
        <v>18000</v>
      </c>
      <c r="L9" s="38">
        <v>38769.230769230766</v>
      </c>
      <c r="M9" s="38">
        <v>18750</v>
      </c>
      <c r="N9" s="40">
        <f t="shared" ref="N9:N12" si="3">SUM(K9:M9)</f>
        <v>75519.230769230766</v>
      </c>
      <c r="O9" s="41">
        <f t="shared" si="2"/>
        <v>1212597.4615384615</v>
      </c>
      <c r="P9" s="80"/>
    </row>
    <row r="10" spans="2:25" ht="21.6" customHeight="1" x14ac:dyDescent="0.35">
      <c r="B10" s="36" t="s">
        <v>7</v>
      </c>
      <c r="C10" s="36">
        <v>0</v>
      </c>
      <c r="D10" s="36">
        <f>130000+8537</f>
        <v>138537</v>
      </c>
      <c r="E10" s="36"/>
      <c r="F10" s="37">
        <f t="shared" si="0"/>
        <v>138537</v>
      </c>
      <c r="G10" s="172">
        <v>70500</v>
      </c>
      <c r="H10" s="172">
        <v>151846.15384615384</v>
      </c>
      <c r="I10" s="172">
        <v>73437.5</v>
      </c>
      <c r="J10" s="173">
        <f t="shared" si="1"/>
        <v>295783.65384615387</v>
      </c>
      <c r="K10" s="38">
        <v>70500</v>
      </c>
      <c r="L10" s="38">
        <v>151846.15384615384</v>
      </c>
      <c r="M10" s="38">
        <v>73437.5</v>
      </c>
      <c r="N10" s="40">
        <f t="shared" si="3"/>
        <v>295783.65384615387</v>
      </c>
      <c r="O10" s="41">
        <f t="shared" si="2"/>
        <v>730104.30769230775</v>
      </c>
      <c r="P10" s="80"/>
    </row>
    <row r="11" spans="2:25" ht="27" customHeight="1" x14ac:dyDescent="0.35">
      <c r="B11" s="53" t="s">
        <v>132</v>
      </c>
      <c r="C11" s="36"/>
      <c r="D11" s="36"/>
      <c r="E11" s="36"/>
      <c r="F11" s="37"/>
      <c r="G11" s="172">
        <f>10000*60</f>
        <v>600000</v>
      </c>
      <c r="H11" s="172">
        <f>10000*120</f>
        <v>1200000</v>
      </c>
      <c r="I11" s="172">
        <f>10000*180</f>
        <v>1800000</v>
      </c>
      <c r="J11" s="173">
        <f t="shared" si="1"/>
        <v>3600000</v>
      </c>
      <c r="K11" s="38">
        <f>10000*60</f>
        <v>600000</v>
      </c>
      <c r="L11" s="38">
        <f>10000*120</f>
        <v>1200000</v>
      </c>
      <c r="M11" s="38">
        <f>10000*180</f>
        <v>1800000</v>
      </c>
      <c r="N11" s="39">
        <f t="shared" ref="N11" si="4">SUM(K11:M11)</f>
        <v>3600000</v>
      </c>
      <c r="O11" s="41">
        <f t="shared" si="2"/>
        <v>7200000</v>
      </c>
      <c r="P11" s="80"/>
    </row>
    <row r="12" spans="2:25" ht="21" customHeight="1" x14ac:dyDescent="0.35">
      <c r="B12" s="36" t="s">
        <v>116</v>
      </c>
      <c r="C12" s="36">
        <v>0</v>
      </c>
      <c r="D12" s="36">
        <v>0</v>
      </c>
      <c r="E12" s="36">
        <v>0</v>
      </c>
      <c r="F12" s="37">
        <f t="shared" si="0"/>
        <v>0</v>
      </c>
      <c r="G12" s="174">
        <v>0</v>
      </c>
      <c r="H12" s="174">
        <v>0</v>
      </c>
      <c r="I12" s="172">
        <v>750000</v>
      </c>
      <c r="J12" s="173">
        <f t="shared" si="1"/>
        <v>750000</v>
      </c>
      <c r="K12" s="43">
        <v>0</v>
      </c>
      <c r="L12" s="43">
        <v>0</v>
      </c>
      <c r="M12" s="38">
        <v>750000</v>
      </c>
      <c r="N12" s="40">
        <f t="shared" si="3"/>
        <v>750000</v>
      </c>
      <c r="O12" s="41">
        <f t="shared" si="2"/>
        <v>1500000</v>
      </c>
      <c r="P12" s="80"/>
    </row>
    <row r="13" spans="2:25" ht="23.4" customHeight="1" x14ac:dyDescent="0.35">
      <c r="B13" s="144" t="s">
        <v>112</v>
      </c>
      <c r="C13" s="145"/>
      <c r="D13" s="145"/>
      <c r="E13" s="145"/>
      <c r="F13" s="145"/>
      <c r="G13" s="145"/>
      <c r="H13" s="145"/>
      <c r="I13" s="145"/>
      <c r="J13" s="145"/>
      <c r="K13" s="145"/>
      <c r="L13" s="145"/>
      <c r="M13" s="145"/>
      <c r="N13" s="145"/>
      <c r="O13" s="146"/>
      <c r="P13" s="80"/>
    </row>
    <row r="14" spans="2:25" ht="32.4" customHeight="1" x14ac:dyDescent="0.35">
      <c r="B14" s="36" t="s">
        <v>117</v>
      </c>
      <c r="C14" s="36">
        <f>223950+174000+165900+26100+82000+30200+46000+12000+38000+148850+27000</f>
        <v>974000</v>
      </c>
      <c r="D14" s="36">
        <f>185944+855800+373155+28518+19850+70832+285+22739+5292+36370+3665+72500+1600+525501+1850+1054449</f>
        <v>3258350</v>
      </c>
      <c r="E14" s="36">
        <f>540000+294400+282600+360000+270000+156600+100000+860600</f>
        <v>2864200</v>
      </c>
      <c r="F14" s="37">
        <f t="shared" si="0"/>
        <v>7096550</v>
      </c>
      <c r="G14" s="175">
        <v>1500000</v>
      </c>
      <c r="H14" s="175">
        <v>3230769.2307692305</v>
      </c>
      <c r="I14" s="175">
        <v>1562500</v>
      </c>
      <c r="J14" s="173">
        <f t="shared" si="1"/>
        <v>6293269.2307692301</v>
      </c>
      <c r="K14" s="44">
        <v>1500000</v>
      </c>
      <c r="L14" s="44">
        <v>3230769.2307692305</v>
      </c>
      <c r="M14" s="44">
        <v>1562500</v>
      </c>
      <c r="N14" s="40">
        <f>SUM(K14:M14)</f>
        <v>6293269.2307692301</v>
      </c>
      <c r="O14" s="41">
        <f t="shared" si="2"/>
        <v>19683088.46153846</v>
      </c>
      <c r="P14" s="80"/>
    </row>
    <row r="15" spans="2:25" ht="28.35" customHeight="1" x14ac:dyDescent="0.35">
      <c r="B15" s="30" t="s">
        <v>98</v>
      </c>
      <c r="C15" s="31">
        <f t="shared" ref="C15:O15" si="5">SUM(C6:C14)</f>
        <v>997000</v>
      </c>
      <c r="D15" s="31">
        <f t="shared" si="5"/>
        <v>3660316</v>
      </c>
      <c r="E15" s="31">
        <f t="shared" si="5"/>
        <v>3768675</v>
      </c>
      <c r="F15" s="31">
        <f t="shared" si="5"/>
        <v>8425991</v>
      </c>
      <c r="G15" s="176">
        <f t="shared" si="5"/>
        <v>2215000</v>
      </c>
      <c r="H15" s="176">
        <f t="shared" si="5"/>
        <v>4647948.717948718</v>
      </c>
      <c r="I15" s="176">
        <f t="shared" si="5"/>
        <v>4236875</v>
      </c>
      <c r="J15" s="176">
        <f t="shared" si="5"/>
        <v>11099823.717948716</v>
      </c>
      <c r="K15" s="31">
        <f t="shared" si="5"/>
        <v>2215000</v>
      </c>
      <c r="L15" s="31">
        <f t="shared" si="5"/>
        <v>4647948.717948718</v>
      </c>
      <c r="M15" s="31">
        <f t="shared" si="5"/>
        <v>4236875</v>
      </c>
      <c r="N15" s="31">
        <f t="shared" si="5"/>
        <v>11099823.717948716</v>
      </c>
      <c r="O15" s="31">
        <f t="shared" si="5"/>
        <v>30625638.435897432</v>
      </c>
      <c r="P15" s="80"/>
    </row>
    <row r="16" spans="2:25" s="12" customFormat="1" ht="27" customHeight="1" x14ac:dyDescent="0.4">
      <c r="B16" s="141" t="s">
        <v>97</v>
      </c>
      <c r="C16" s="153"/>
      <c r="D16" s="153"/>
      <c r="E16" s="153"/>
      <c r="F16" s="153"/>
      <c r="G16" s="153"/>
      <c r="H16" s="153"/>
      <c r="I16" s="153"/>
      <c r="J16" s="153"/>
      <c r="K16" s="153"/>
      <c r="L16" s="153"/>
      <c r="M16" s="153"/>
      <c r="N16" s="153"/>
      <c r="O16" s="154"/>
      <c r="P16" s="80"/>
      <c r="Y16" s="72"/>
    </row>
    <row r="17" spans="2:16" ht="22.35" customHeight="1" x14ac:dyDescent="0.35">
      <c r="B17" s="144" t="s">
        <v>8</v>
      </c>
      <c r="C17" s="145"/>
      <c r="D17" s="145"/>
      <c r="E17" s="145"/>
      <c r="F17" s="145"/>
      <c r="G17" s="145"/>
      <c r="H17" s="145"/>
      <c r="I17" s="145"/>
      <c r="J17" s="145"/>
      <c r="K17" s="145"/>
      <c r="L17" s="145"/>
      <c r="M17" s="145"/>
      <c r="N17" s="145"/>
      <c r="O17" s="146"/>
      <c r="P17" s="80"/>
    </row>
    <row r="18" spans="2:16" ht="23.4" customHeight="1" x14ac:dyDescent="0.35">
      <c r="B18" s="43" t="s">
        <v>118</v>
      </c>
      <c r="C18" s="3">
        <v>0</v>
      </c>
      <c r="D18" s="3">
        <v>0</v>
      </c>
      <c r="E18" s="3"/>
      <c r="F18" s="11">
        <f t="shared" si="0"/>
        <v>0</v>
      </c>
      <c r="G18" s="177">
        <v>0</v>
      </c>
      <c r="H18" s="177">
        <v>0</v>
      </c>
      <c r="I18" s="177">
        <v>0</v>
      </c>
      <c r="J18" s="178">
        <v>0</v>
      </c>
      <c r="K18" s="4">
        <v>0</v>
      </c>
      <c r="L18" s="4">
        <v>0</v>
      </c>
      <c r="M18" s="4">
        <v>0</v>
      </c>
      <c r="N18" s="9">
        <f>SUM(K18:M18)</f>
        <v>0</v>
      </c>
      <c r="O18" s="5">
        <f t="shared" si="2"/>
        <v>0</v>
      </c>
      <c r="P18" s="80"/>
    </row>
    <row r="19" spans="2:16" ht="19.5" customHeight="1" x14ac:dyDescent="0.35">
      <c r="B19" s="144" t="s">
        <v>100</v>
      </c>
      <c r="C19" s="145"/>
      <c r="D19" s="145"/>
      <c r="E19" s="145"/>
      <c r="F19" s="145"/>
      <c r="G19" s="145"/>
      <c r="H19" s="145"/>
      <c r="I19" s="145"/>
      <c r="J19" s="145"/>
      <c r="K19" s="145"/>
      <c r="L19" s="145"/>
      <c r="M19" s="145"/>
      <c r="N19" s="145"/>
      <c r="O19" s="146"/>
      <c r="P19" s="80"/>
    </row>
    <row r="20" spans="2:16" ht="24" customHeight="1" x14ac:dyDescent="0.35">
      <c r="B20" s="36" t="s">
        <v>9</v>
      </c>
      <c r="C20" s="36">
        <v>0</v>
      </c>
      <c r="D20" s="36">
        <v>0</v>
      </c>
      <c r="E20" s="36">
        <v>0</v>
      </c>
      <c r="F20" s="37">
        <f t="shared" si="0"/>
        <v>0</v>
      </c>
      <c r="G20" s="179">
        <v>31500</v>
      </c>
      <c r="H20" s="179">
        <v>67846.153846153844</v>
      </c>
      <c r="I20" s="179">
        <v>32812.5</v>
      </c>
      <c r="J20" s="173">
        <f t="shared" si="1"/>
        <v>132158.65384615384</v>
      </c>
      <c r="K20" s="45">
        <v>31500</v>
      </c>
      <c r="L20" s="45">
        <v>67846.153846153844</v>
      </c>
      <c r="M20" s="45">
        <v>32812.5</v>
      </c>
      <c r="N20" s="40">
        <f>SUM(K20:M20)</f>
        <v>132158.65384615384</v>
      </c>
      <c r="O20" s="41">
        <f t="shared" si="2"/>
        <v>264317.30769230769</v>
      </c>
      <c r="P20" s="80"/>
    </row>
    <row r="21" spans="2:16" ht="23.4" customHeight="1" x14ac:dyDescent="0.35">
      <c r="B21" s="36" t="s">
        <v>10</v>
      </c>
      <c r="C21" s="36">
        <v>0</v>
      </c>
      <c r="D21" s="36">
        <v>0</v>
      </c>
      <c r="E21" s="36">
        <v>0</v>
      </c>
      <c r="F21" s="37">
        <f t="shared" si="0"/>
        <v>0</v>
      </c>
      <c r="G21" s="179">
        <v>3000</v>
      </c>
      <c r="H21" s="179">
        <v>6461.538461538461</v>
      </c>
      <c r="I21" s="179">
        <v>3125</v>
      </c>
      <c r="J21" s="173">
        <f t="shared" si="1"/>
        <v>12586.538461538461</v>
      </c>
      <c r="K21" s="45">
        <v>3000</v>
      </c>
      <c r="L21" s="45">
        <v>6461.538461538461</v>
      </c>
      <c r="M21" s="45">
        <v>3125</v>
      </c>
      <c r="N21" s="40">
        <f t="shared" ref="N21:N24" si="6">SUM(K21:M21)</f>
        <v>12586.538461538461</v>
      </c>
      <c r="O21" s="41">
        <f t="shared" si="2"/>
        <v>25173.076923076922</v>
      </c>
      <c r="P21" s="80"/>
    </row>
    <row r="22" spans="2:16" ht="33" customHeight="1" x14ac:dyDescent="0.35">
      <c r="B22" s="36" t="s">
        <v>11</v>
      </c>
      <c r="C22" s="36">
        <v>22500</v>
      </c>
      <c r="D22" s="46"/>
      <c r="E22" s="36">
        <v>100000</v>
      </c>
      <c r="F22" s="37">
        <f t="shared" si="0"/>
        <v>122500</v>
      </c>
      <c r="G22" s="179">
        <v>7500</v>
      </c>
      <c r="H22" s="179">
        <v>16153.846153846152</v>
      </c>
      <c r="I22" s="179">
        <v>7812.5</v>
      </c>
      <c r="J22" s="173">
        <f t="shared" si="1"/>
        <v>31466.346153846152</v>
      </c>
      <c r="K22" s="45">
        <v>7500</v>
      </c>
      <c r="L22" s="45">
        <v>16153.846153846152</v>
      </c>
      <c r="M22" s="45">
        <v>7812.5</v>
      </c>
      <c r="N22" s="40">
        <f t="shared" si="6"/>
        <v>31466.346153846152</v>
      </c>
      <c r="O22" s="41">
        <f t="shared" si="2"/>
        <v>185432.69230769231</v>
      </c>
      <c r="P22" s="80"/>
    </row>
    <row r="23" spans="2:16" ht="35.1" customHeight="1" x14ac:dyDescent="0.35">
      <c r="B23" s="36" t="s">
        <v>12</v>
      </c>
      <c r="C23" s="36">
        <v>2500</v>
      </c>
      <c r="D23" s="46"/>
      <c r="E23" s="36"/>
      <c r="F23" s="37">
        <f t="shared" si="0"/>
        <v>2500</v>
      </c>
      <c r="G23" s="179">
        <v>7500</v>
      </c>
      <c r="H23" s="179">
        <v>16153.846153846152</v>
      </c>
      <c r="I23" s="179">
        <v>7812.5</v>
      </c>
      <c r="J23" s="173">
        <f t="shared" si="1"/>
        <v>31466.346153846152</v>
      </c>
      <c r="K23" s="45">
        <v>7500</v>
      </c>
      <c r="L23" s="45">
        <v>16153.846153846152</v>
      </c>
      <c r="M23" s="45">
        <v>7812.5</v>
      </c>
      <c r="N23" s="40">
        <f t="shared" si="6"/>
        <v>31466.346153846152</v>
      </c>
      <c r="O23" s="41">
        <f t="shared" si="2"/>
        <v>65432.692307692312</v>
      </c>
      <c r="P23" s="80"/>
    </row>
    <row r="24" spans="2:16" ht="26.1" customHeight="1" x14ac:dyDescent="0.35">
      <c r="B24" s="36" t="s">
        <v>119</v>
      </c>
      <c r="C24" s="36">
        <f>11400+10900+5700+28800</f>
        <v>56800</v>
      </c>
      <c r="D24" s="36">
        <f>26481.49+23040.73+19255+8638.89+20142.6+28040.73+43260+41220</f>
        <v>210079.44</v>
      </c>
      <c r="E24" s="36">
        <v>200000</v>
      </c>
      <c r="F24" s="37">
        <f t="shared" si="0"/>
        <v>466879.44</v>
      </c>
      <c r="G24" s="179">
        <v>66000</v>
      </c>
      <c r="H24" s="179">
        <v>142153.84615384616</v>
      </c>
      <c r="I24" s="179">
        <v>68750</v>
      </c>
      <c r="J24" s="173">
        <f t="shared" si="1"/>
        <v>276903.84615384613</v>
      </c>
      <c r="K24" s="45">
        <v>66000</v>
      </c>
      <c r="L24" s="45">
        <v>142153.84615384616</v>
      </c>
      <c r="M24" s="45">
        <v>68750</v>
      </c>
      <c r="N24" s="40">
        <f t="shared" si="6"/>
        <v>276903.84615384613</v>
      </c>
      <c r="O24" s="41">
        <f t="shared" si="2"/>
        <v>1020687.1323076923</v>
      </c>
      <c r="P24" s="80"/>
    </row>
    <row r="25" spans="2:16" s="19" customFormat="1" ht="33" customHeight="1" x14ac:dyDescent="0.35">
      <c r="B25" s="30" t="s">
        <v>98</v>
      </c>
      <c r="C25" s="31">
        <f t="shared" ref="C25:O25" si="7">SUM(C20:C24)</f>
        <v>81800</v>
      </c>
      <c r="D25" s="31">
        <f t="shared" si="7"/>
        <v>210079.44</v>
      </c>
      <c r="E25" s="31">
        <f t="shared" si="7"/>
        <v>300000</v>
      </c>
      <c r="F25" s="31">
        <f t="shared" si="7"/>
        <v>591879.43999999994</v>
      </c>
      <c r="G25" s="176">
        <f t="shared" si="7"/>
        <v>115500</v>
      </c>
      <c r="H25" s="176">
        <f t="shared" si="7"/>
        <v>248769.23076923078</v>
      </c>
      <c r="I25" s="176">
        <f t="shared" si="7"/>
        <v>120312.5</v>
      </c>
      <c r="J25" s="176">
        <f t="shared" si="7"/>
        <v>484581.73076923075</v>
      </c>
      <c r="K25" s="31">
        <f t="shared" si="7"/>
        <v>115500</v>
      </c>
      <c r="L25" s="31">
        <f t="shared" si="7"/>
        <v>248769.23076923078</v>
      </c>
      <c r="M25" s="31">
        <f t="shared" si="7"/>
        <v>120312.5</v>
      </c>
      <c r="N25" s="31">
        <f t="shared" si="7"/>
        <v>484581.73076923075</v>
      </c>
      <c r="O25" s="31">
        <f t="shared" si="7"/>
        <v>1561042.9015384614</v>
      </c>
      <c r="P25" s="80"/>
    </row>
    <row r="26" spans="2:16" s="12" customFormat="1" ht="32.4" customHeight="1" x14ac:dyDescent="0.35">
      <c r="B26" s="141" t="s">
        <v>99</v>
      </c>
      <c r="C26" s="153"/>
      <c r="D26" s="153"/>
      <c r="E26" s="153"/>
      <c r="F26" s="153"/>
      <c r="G26" s="153"/>
      <c r="H26" s="153"/>
      <c r="I26" s="153"/>
      <c r="J26" s="153"/>
      <c r="K26" s="153"/>
      <c r="L26" s="153"/>
      <c r="M26" s="153"/>
      <c r="N26" s="153"/>
      <c r="O26" s="154"/>
      <c r="P26" s="80"/>
    </row>
    <row r="27" spans="2:16" ht="20.100000000000001" customHeight="1" x14ac:dyDescent="0.35">
      <c r="B27" s="144" t="s">
        <v>3</v>
      </c>
      <c r="C27" s="145"/>
      <c r="D27" s="145"/>
      <c r="E27" s="145"/>
      <c r="F27" s="145"/>
      <c r="G27" s="145"/>
      <c r="H27" s="145"/>
      <c r="I27" s="145"/>
      <c r="J27" s="145"/>
      <c r="K27" s="145"/>
      <c r="L27" s="145"/>
      <c r="M27" s="145"/>
      <c r="N27" s="145"/>
      <c r="O27" s="146"/>
      <c r="P27" s="80"/>
    </row>
    <row r="28" spans="2:16" ht="36.6" customHeight="1" x14ac:dyDescent="0.35">
      <c r="B28" s="36" t="s">
        <v>120</v>
      </c>
      <c r="C28" s="36">
        <v>36390</v>
      </c>
      <c r="D28" s="36">
        <v>77173</v>
      </c>
      <c r="E28" s="36">
        <v>0</v>
      </c>
      <c r="F28" s="37">
        <f>SUM(C28:E28)</f>
        <v>113563</v>
      </c>
      <c r="G28" s="174">
        <v>0</v>
      </c>
      <c r="H28" s="174">
        <v>0</v>
      </c>
      <c r="I28" s="174">
        <v>0</v>
      </c>
      <c r="J28" s="173">
        <f t="shared" si="1"/>
        <v>0</v>
      </c>
      <c r="K28" s="43">
        <v>0</v>
      </c>
      <c r="L28" s="43">
        <v>0</v>
      </c>
      <c r="M28" s="43">
        <v>0</v>
      </c>
      <c r="N28" s="41">
        <f>SUM(K28:M28)</f>
        <v>0</v>
      </c>
      <c r="O28" s="41">
        <f t="shared" si="2"/>
        <v>113563</v>
      </c>
      <c r="P28" s="80"/>
    </row>
    <row r="29" spans="2:16" ht="26.1" customHeight="1" x14ac:dyDescent="0.35">
      <c r="B29" s="36" t="s">
        <v>121</v>
      </c>
      <c r="C29" s="36"/>
      <c r="D29" s="36"/>
      <c r="E29" s="36">
        <v>0</v>
      </c>
      <c r="F29" s="37">
        <f t="shared" ref="F29:F33" si="8">SUM(C29:E29)</f>
        <v>0</v>
      </c>
      <c r="G29" s="174">
        <v>0</v>
      </c>
      <c r="H29" s="174">
        <v>0</v>
      </c>
      <c r="I29" s="174">
        <v>0</v>
      </c>
      <c r="J29" s="173">
        <f t="shared" si="1"/>
        <v>0</v>
      </c>
      <c r="K29" s="43">
        <v>0</v>
      </c>
      <c r="L29" s="43">
        <v>0</v>
      </c>
      <c r="M29" s="43">
        <v>0</v>
      </c>
      <c r="N29" s="41">
        <f t="shared" ref="N29:N33" si="9">SUM(K29:M29)</f>
        <v>0</v>
      </c>
      <c r="O29" s="41">
        <f t="shared" si="2"/>
        <v>0</v>
      </c>
      <c r="P29" s="80"/>
    </row>
    <row r="30" spans="2:16" ht="30.6" customHeight="1" x14ac:dyDescent="0.35">
      <c r="B30" s="36" t="s">
        <v>13</v>
      </c>
      <c r="C30" s="36">
        <v>27700</v>
      </c>
      <c r="D30" s="36">
        <v>90000</v>
      </c>
      <c r="E30" s="36">
        <v>0</v>
      </c>
      <c r="F30" s="37">
        <f t="shared" si="8"/>
        <v>117700</v>
      </c>
      <c r="G30" s="179">
        <v>18000</v>
      </c>
      <c r="H30" s="179">
        <v>38769.230769230766</v>
      </c>
      <c r="I30" s="179">
        <v>18750</v>
      </c>
      <c r="J30" s="173">
        <f t="shared" si="1"/>
        <v>75519.230769230766</v>
      </c>
      <c r="K30" s="45">
        <v>18000</v>
      </c>
      <c r="L30" s="45">
        <v>38769.230769230766</v>
      </c>
      <c r="M30" s="45">
        <v>18750</v>
      </c>
      <c r="N30" s="41">
        <f t="shared" si="9"/>
        <v>75519.230769230766</v>
      </c>
      <c r="O30" s="41">
        <f t="shared" si="2"/>
        <v>268738.4615384615</v>
      </c>
      <c r="P30" s="80"/>
    </row>
    <row r="31" spans="2:16" ht="21" customHeight="1" x14ac:dyDescent="0.35">
      <c r="B31" s="36" t="s">
        <v>122</v>
      </c>
      <c r="C31" s="36">
        <v>46800</v>
      </c>
      <c r="D31" s="36"/>
      <c r="E31" s="36">
        <v>0</v>
      </c>
      <c r="F31" s="37">
        <f t="shared" si="8"/>
        <v>46800</v>
      </c>
      <c r="G31" s="179">
        <v>15000</v>
      </c>
      <c r="H31" s="179">
        <v>32307.692307692305</v>
      </c>
      <c r="I31" s="179">
        <v>15625</v>
      </c>
      <c r="J31" s="173">
        <f t="shared" si="1"/>
        <v>62932.692307692305</v>
      </c>
      <c r="K31" s="45">
        <v>15000</v>
      </c>
      <c r="L31" s="45">
        <v>32307.692307692305</v>
      </c>
      <c r="M31" s="45">
        <v>15625</v>
      </c>
      <c r="N31" s="41">
        <f t="shared" si="9"/>
        <v>62932.692307692305</v>
      </c>
      <c r="O31" s="41">
        <f t="shared" si="2"/>
        <v>172665.38461538462</v>
      </c>
      <c r="P31" s="80"/>
    </row>
    <row r="32" spans="2:16" ht="27" customHeight="1" x14ac:dyDescent="0.35">
      <c r="B32" s="36" t="s">
        <v>14</v>
      </c>
      <c r="C32" s="36">
        <v>22500</v>
      </c>
      <c r="D32" s="36"/>
      <c r="E32" s="36">
        <v>0</v>
      </c>
      <c r="F32" s="37">
        <f t="shared" si="8"/>
        <v>22500</v>
      </c>
      <c r="G32" s="179">
        <v>13500</v>
      </c>
      <c r="H32" s="179">
        <v>29076.923076923074</v>
      </c>
      <c r="I32" s="179">
        <v>14062.5</v>
      </c>
      <c r="J32" s="173">
        <f t="shared" si="1"/>
        <v>56639.423076923078</v>
      </c>
      <c r="K32" s="45">
        <v>13500</v>
      </c>
      <c r="L32" s="45">
        <v>29076.923076923074</v>
      </c>
      <c r="M32" s="45">
        <v>14062.5</v>
      </c>
      <c r="N32" s="41">
        <f t="shared" si="9"/>
        <v>56639.423076923078</v>
      </c>
      <c r="O32" s="41">
        <f t="shared" si="2"/>
        <v>135778.84615384616</v>
      </c>
      <c r="P32" s="80"/>
    </row>
    <row r="33" spans="2:16" ht="32.1" customHeight="1" x14ac:dyDescent="0.35">
      <c r="B33" s="43" t="s">
        <v>15</v>
      </c>
      <c r="C33" s="43">
        <v>16900</v>
      </c>
      <c r="D33" s="43"/>
      <c r="E33" s="43">
        <v>0</v>
      </c>
      <c r="F33" s="37">
        <f t="shared" si="8"/>
        <v>16900</v>
      </c>
      <c r="G33" s="180">
        <v>9000</v>
      </c>
      <c r="H33" s="180">
        <v>19384.615384615383</v>
      </c>
      <c r="I33" s="180">
        <v>9375</v>
      </c>
      <c r="J33" s="173">
        <f t="shared" si="1"/>
        <v>37759.615384615383</v>
      </c>
      <c r="K33" s="47">
        <v>9000</v>
      </c>
      <c r="L33" s="47">
        <v>19384.615384615383</v>
      </c>
      <c r="M33" s="47">
        <v>9375</v>
      </c>
      <c r="N33" s="41">
        <f t="shared" si="9"/>
        <v>37759.615384615383</v>
      </c>
      <c r="O33" s="41">
        <f t="shared" si="2"/>
        <v>92419.230769230766</v>
      </c>
      <c r="P33" s="80"/>
    </row>
    <row r="34" spans="2:16" s="19" customFormat="1" ht="30" customHeight="1" x14ac:dyDescent="0.35">
      <c r="B34" s="30" t="s">
        <v>98</v>
      </c>
      <c r="C34" s="32">
        <f t="shared" ref="C34:O34" si="10">SUM(C28:C33)</f>
        <v>150290</v>
      </c>
      <c r="D34" s="32">
        <f t="shared" si="10"/>
        <v>167173</v>
      </c>
      <c r="E34" s="32">
        <f t="shared" si="10"/>
        <v>0</v>
      </c>
      <c r="F34" s="32">
        <f t="shared" si="10"/>
        <v>317463</v>
      </c>
      <c r="G34" s="181">
        <f t="shared" si="10"/>
        <v>55500</v>
      </c>
      <c r="H34" s="181">
        <f t="shared" si="10"/>
        <v>119538.46153846153</v>
      </c>
      <c r="I34" s="181">
        <f t="shared" si="10"/>
        <v>57812.5</v>
      </c>
      <c r="J34" s="181">
        <f t="shared" si="10"/>
        <v>232850.9615384615</v>
      </c>
      <c r="K34" s="32">
        <f t="shared" si="10"/>
        <v>55500</v>
      </c>
      <c r="L34" s="32">
        <f t="shared" si="10"/>
        <v>119538.46153846153</v>
      </c>
      <c r="M34" s="32">
        <f t="shared" si="10"/>
        <v>57812.5</v>
      </c>
      <c r="N34" s="32">
        <f t="shared" si="10"/>
        <v>232850.9615384615</v>
      </c>
      <c r="O34" s="32">
        <f t="shared" si="10"/>
        <v>783164.92307692301</v>
      </c>
      <c r="P34" s="80"/>
    </row>
    <row r="35" spans="2:16" s="1" customFormat="1" ht="27.6" customHeight="1" thickBot="1" x14ac:dyDescent="0.4">
      <c r="B35" s="61" t="s">
        <v>90</v>
      </c>
      <c r="C35" s="61">
        <f>C15+C25+C34</f>
        <v>1229090</v>
      </c>
      <c r="D35" s="61">
        <f t="shared" ref="D35:O35" si="11">D15+D25+D34</f>
        <v>4037568.44</v>
      </c>
      <c r="E35" s="61">
        <f t="shared" si="11"/>
        <v>4068675</v>
      </c>
      <c r="F35" s="61">
        <f t="shared" si="11"/>
        <v>9335333.4399999995</v>
      </c>
      <c r="G35" s="182">
        <f t="shared" si="11"/>
        <v>2386000</v>
      </c>
      <c r="H35" s="182">
        <f t="shared" si="11"/>
        <v>5016256.4102564109</v>
      </c>
      <c r="I35" s="182">
        <f t="shared" si="11"/>
        <v>4415000</v>
      </c>
      <c r="J35" s="182">
        <f t="shared" si="11"/>
        <v>11817256.410256408</v>
      </c>
      <c r="K35" s="61">
        <f t="shared" si="11"/>
        <v>2386000</v>
      </c>
      <c r="L35" s="61">
        <f t="shared" si="11"/>
        <v>5016256.4102564109</v>
      </c>
      <c r="M35" s="61">
        <f t="shared" si="11"/>
        <v>4415000</v>
      </c>
      <c r="N35" s="61">
        <f t="shared" si="11"/>
        <v>11817256.410256408</v>
      </c>
      <c r="O35" s="61">
        <f t="shared" si="11"/>
        <v>32969846.260512818</v>
      </c>
      <c r="P35" s="80"/>
    </row>
    <row r="36" spans="2:16" ht="28.65" customHeight="1" thickTop="1" thickBot="1" x14ac:dyDescent="0.4">
      <c r="B36" s="158" t="s">
        <v>102</v>
      </c>
      <c r="C36" s="159"/>
      <c r="D36" s="159"/>
      <c r="E36" s="159"/>
      <c r="F36" s="159"/>
      <c r="G36" s="159"/>
      <c r="H36" s="159"/>
      <c r="I36" s="159"/>
      <c r="J36" s="159"/>
      <c r="K36" s="159"/>
      <c r="L36" s="159"/>
      <c r="M36" s="159"/>
      <c r="N36" s="159"/>
      <c r="O36" s="160"/>
      <c r="P36" s="80"/>
    </row>
    <row r="37" spans="2:16" ht="21" customHeight="1" thickTop="1" x14ac:dyDescent="0.35">
      <c r="B37" s="161" t="s">
        <v>103</v>
      </c>
      <c r="C37" s="162"/>
      <c r="D37" s="162"/>
      <c r="E37" s="162"/>
      <c r="F37" s="162"/>
      <c r="G37" s="162"/>
      <c r="H37" s="162"/>
      <c r="I37" s="162"/>
      <c r="J37" s="162"/>
      <c r="K37" s="162"/>
      <c r="L37" s="162"/>
      <c r="M37" s="162"/>
      <c r="N37" s="162"/>
      <c r="O37" s="163"/>
      <c r="P37" s="80"/>
    </row>
    <row r="38" spans="2:16" ht="18.600000000000001" customHeight="1" x14ac:dyDescent="0.35">
      <c r="B38" s="144" t="s">
        <v>5</v>
      </c>
      <c r="C38" s="145"/>
      <c r="D38" s="145"/>
      <c r="E38" s="145"/>
      <c r="F38" s="145"/>
      <c r="G38" s="145"/>
      <c r="H38" s="145"/>
      <c r="I38" s="145"/>
      <c r="J38" s="145"/>
      <c r="K38" s="145"/>
      <c r="L38" s="145"/>
      <c r="M38" s="145"/>
      <c r="N38" s="145"/>
      <c r="O38" s="146"/>
      <c r="P38" s="80"/>
    </row>
    <row r="39" spans="2:16" ht="19.5" customHeight="1" x14ac:dyDescent="0.35">
      <c r="B39" s="36" t="s">
        <v>123</v>
      </c>
      <c r="C39" s="36">
        <f>4900+5200</f>
        <v>10100</v>
      </c>
      <c r="D39" s="36">
        <v>0</v>
      </c>
      <c r="E39" s="36">
        <v>0</v>
      </c>
      <c r="F39" s="37">
        <f>SUM(C39:E39)</f>
        <v>10100</v>
      </c>
      <c r="G39" s="179">
        <v>0</v>
      </c>
      <c r="H39" s="179">
        <v>8820.5128205128203</v>
      </c>
      <c r="I39" s="179">
        <v>13437.5</v>
      </c>
      <c r="J39" s="173">
        <f t="shared" si="1"/>
        <v>22258.01282051282</v>
      </c>
      <c r="K39" s="45">
        <v>0</v>
      </c>
      <c r="L39" s="45">
        <v>8820.5128205128203</v>
      </c>
      <c r="M39" s="45">
        <v>13437.5</v>
      </c>
      <c r="N39" s="41">
        <f>SUM(K39:M39)</f>
        <v>22258.01282051282</v>
      </c>
      <c r="O39" s="41">
        <f t="shared" si="2"/>
        <v>54616.025641025641</v>
      </c>
      <c r="P39" s="80"/>
    </row>
    <row r="40" spans="2:16" ht="17.399999999999999" customHeight="1" x14ac:dyDescent="0.35">
      <c r="B40" s="36" t="s">
        <v>124</v>
      </c>
      <c r="C40" s="36">
        <v>0</v>
      </c>
      <c r="D40" s="36">
        <v>0</v>
      </c>
      <c r="E40" s="36">
        <v>0</v>
      </c>
      <c r="F40" s="37">
        <f t="shared" ref="F40:F47" si="12">SUM(C40:E40)</f>
        <v>0</v>
      </c>
      <c r="G40" s="179">
        <v>0</v>
      </c>
      <c r="H40" s="179">
        <v>44102.564102564102</v>
      </c>
      <c r="I40" s="179">
        <v>107500</v>
      </c>
      <c r="J40" s="173">
        <f t="shared" si="1"/>
        <v>151602.56410256409</v>
      </c>
      <c r="K40" s="45">
        <v>0</v>
      </c>
      <c r="L40" s="45">
        <v>44102.564102564102</v>
      </c>
      <c r="M40" s="45">
        <v>107500</v>
      </c>
      <c r="N40" s="41">
        <f t="shared" ref="N40:N60" si="13">SUM(K40:M40)</f>
        <v>151602.56410256409</v>
      </c>
      <c r="O40" s="41">
        <f t="shared" si="2"/>
        <v>303205.12820512819</v>
      </c>
      <c r="P40" s="80"/>
    </row>
    <row r="41" spans="2:16" ht="18.899999999999999" customHeight="1" x14ac:dyDescent="0.35">
      <c r="B41" s="36" t="s">
        <v>125</v>
      </c>
      <c r="C41" s="36">
        <v>0</v>
      </c>
      <c r="D41" s="36">
        <v>0</v>
      </c>
      <c r="E41" s="36">
        <v>0</v>
      </c>
      <c r="F41" s="37">
        <f t="shared" si="12"/>
        <v>0</v>
      </c>
      <c r="G41" s="179">
        <v>0</v>
      </c>
      <c r="H41" s="179">
        <v>1764.102564102564</v>
      </c>
      <c r="I41" s="179">
        <v>2150</v>
      </c>
      <c r="J41" s="173">
        <f t="shared" si="1"/>
        <v>3914.102564102564</v>
      </c>
      <c r="K41" s="45">
        <v>0</v>
      </c>
      <c r="L41" s="45">
        <v>1764.102564102564</v>
      </c>
      <c r="M41" s="45">
        <v>2150</v>
      </c>
      <c r="N41" s="41">
        <f t="shared" si="13"/>
        <v>3914.102564102564</v>
      </c>
      <c r="O41" s="41">
        <f t="shared" si="2"/>
        <v>7828.2051282051279</v>
      </c>
      <c r="P41" s="80"/>
    </row>
    <row r="42" spans="2:16" ht="20.399999999999999" customHeight="1" x14ac:dyDescent="0.35">
      <c r="B42" s="36" t="s">
        <v>29</v>
      </c>
      <c r="C42" s="36">
        <v>0</v>
      </c>
      <c r="D42" s="36">
        <v>0</v>
      </c>
      <c r="E42" s="36">
        <v>0</v>
      </c>
      <c r="F42" s="37">
        <f t="shared" si="12"/>
        <v>0</v>
      </c>
      <c r="G42" s="179">
        <v>0</v>
      </c>
      <c r="H42" s="179">
        <v>1764.102564102564</v>
      </c>
      <c r="I42" s="179">
        <v>2687.5</v>
      </c>
      <c r="J42" s="173">
        <f t="shared" si="1"/>
        <v>4451.6025641025644</v>
      </c>
      <c r="K42" s="45">
        <v>0</v>
      </c>
      <c r="L42" s="45">
        <v>1764.102564102564</v>
      </c>
      <c r="M42" s="45">
        <v>2687.5</v>
      </c>
      <c r="N42" s="41">
        <f t="shared" si="13"/>
        <v>4451.6025641025644</v>
      </c>
      <c r="O42" s="41">
        <f t="shared" si="2"/>
        <v>8903.2051282051289</v>
      </c>
      <c r="P42" s="80"/>
    </row>
    <row r="43" spans="2:16" ht="18" customHeight="1" x14ac:dyDescent="0.35">
      <c r="B43" s="36" t="s">
        <v>30</v>
      </c>
      <c r="C43" s="36">
        <v>0</v>
      </c>
      <c r="D43" s="36">
        <v>0</v>
      </c>
      <c r="E43" s="36">
        <v>0</v>
      </c>
      <c r="F43" s="37">
        <f t="shared" si="12"/>
        <v>0</v>
      </c>
      <c r="G43" s="179">
        <v>0</v>
      </c>
      <c r="H43" s="179">
        <v>4410.2564102564102</v>
      </c>
      <c r="I43" s="179">
        <v>8062.5</v>
      </c>
      <c r="J43" s="173">
        <f t="shared" si="1"/>
        <v>12472.75641025641</v>
      </c>
      <c r="K43" s="45">
        <v>0</v>
      </c>
      <c r="L43" s="45">
        <v>4410.2564102564102</v>
      </c>
      <c r="M43" s="45">
        <v>8062.5</v>
      </c>
      <c r="N43" s="41">
        <f t="shared" si="13"/>
        <v>12472.75641025641</v>
      </c>
      <c r="O43" s="41">
        <f t="shared" si="2"/>
        <v>24945.51282051282</v>
      </c>
      <c r="P43" s="80"/>
    </row>
    <row r="44" spans="2:16" ht="18.899999999999999" customHeight="1" x14ac:dyDescent="0.35">
      <c r="B44" s="36" t="s">
        <v>31</v>
      </c>
      <c r="C44" s="36">
        <v>0</v>
      </c>
      <c r="D44" s="36">
        <v>0</v>
      </c>
      <c r="E44" s="36">
        <v>0</v>
      </c>
      <c r="F44" s="37">
        <f t="shared" si="12"/>
        <v>0</v>
      </c>
      <c r="G44" s="179">
        <v>0</v>
      </c>
      <c r="H44" s="179">
        <v>176410.25641025641</v>
      </c>
      <c r="I44" s="179">
        <v>322500</v>
      </c>
      <c r="J44" s="173">
        <f t="shared" si="1"/>
        <v>498910.25641025638</v>
      </c>
      <c r="K44" s="45">
        <v>0</v>
      </c>
      <c r="L44" s="45">
        <v>176410.25641025641</v>
      </c>
      <c r="M44" s="45">
        <v>322500</v>
      </c>
      <c r="N44" s="41">
        <f t="shared" si="13"/>
        <v>498910.25641025638</v>
      </c>
      <c r="O44" s="41">
        <f t="shared" si="2"/>
        <v>997820.51282051275</v>
      </c>
      <c r="P44" s="80"/>
    </row>
    <row r="45" spans="2:16" ht="26.4" customHeight="1" x14ac:dyDescent="0.35">
      <c r="B45" s="48" t="s">
        <v>126</v>
      </c>
      <c r="C45" s="48">
        <v>0</v>
      </c>
      <c r="D45" s="48">
        <v>0</v>
      </c>
      <c r="E45" s="48">
        <v>0</v>
      </c>
      <c r="F45" s="37">
        <f t="shared" si="12"/>
        <v>0</v>
      </c>
      <c r="G45" s="179">
        <v>0</v>
      </c>
      <c r="H45" s="179">
        <v>1323.0769230769231</v>
      </c>
      <c r="I45" s="179">
        <v>1612.5</v>
      </c>
      <c r="J45" s="173">
        <f t="shared" si="1"/>
        <v>2935.5769230769229</v>
      </c>
      <c r="K45" s="49">
        <v>0</v>
      </c>
      <c r="L45" s="45">
        <v>1323.0769230769231</v>
      </c>
      <c r="M45" s="45">
        <v>1612.5</v>
      </c>
      <c r="N45" s="41">
        <f t="shared" si="13"/>
        <v>2935.5769230769229</v>
      </c>
      <c r="O45" s="41">
        <f t="shared" si="2"/>
        <v>5871.1538461538457</v>
      </c>
      <c r="P45" s="80"/>
    </row>
    <row r="46" spans="2:16" ht="19.5" customHeight="1" x14ac:dyDescent="0.35">
      <c r="B46" s="48" t="s">
        <v>32</v>
      </c>
      <c r="C46" s="48">
        <v>0</v>
      </c>
      <c r="D46" s="48">
        <v>0</v>
      </c>
      <c r="E46" s="48">
        <v>0</v>
      </c>
      <c r="F46" s="37">
        <f t="shared" si="12"/>
        <v>0</v>
      </c>
      <c r="G46" s="179">
        <v>0</v>
      </c>
      <c r="H46" s="179">
        <v>132307.69230769231</v>
      </c>
      <c r="I46" s="179">
        <v>215000</v>
      </c>
      <c r="J46" s="173">
        <f t="shared" si="1"/>
        <v>347307.69230769231</v>
      </c>
      <c r="K46" s="49">
        <v>0</v>
      </c>
      <c r="L46" s="45">
        <v>132307.69230769231</v>
      </c>
      <c r="M46" s="45">
        <v>215000</v>
      </c>
      <c r="N46" s="41">
        <f t="shared" si="13"/>
        <v>347307.69230769231</v>
      </c>
      <c r="O46" s="41">
        <f t="shared" si="2"/>
        <v>694615.38461538462</v>
      </c>
      <c r="P46" s="80"/>
    </row>
    <row r="47" spans="2:16" ht="21.9" customHeight="1" x14ac:dyDescent="0.35">
      <c r="B47" s="36" t="s">
        <v>33</v>
      </c>
      <c r="C47" s="36">
        <v>0</v>
      </c>
      <c r="D47" s="36">
        <v>0</v>
      </c>
      <c r="E47" s="36">
        <v>0</v>
      </c>
      <c r="F47" s="37">
        <f t="shared" si="12"/>
        <v>0</v>
      </c>
      <c r="G47" s="179">
        <v>0</v>
      </c>
      <c r="H47" s="179">
        <v>4410.2564102564102</v>
      </c>
      <c r="I47" s="179">
        <v>8062.5</v>
      </c>
      <c r="J47" s="173">
        <f t="shared" si="1"/>
        <v>12472.75641025641</v>
      </c>
      <c r="K47" s="45">
        <v>0</v>
      </c>
      <c r="L47" s="45">
        <v>4410.2564102564102</v>
      </c>
      <c r="M47" s="45">
        <v>8062.5</v>
      </c>
      <c r="N47" s="41">
        <f t="shared" si="13"/>
        <v>12472.75641025641</v>
      </c>
      <c r="O47" s="41">
        <f t="shared" si="2"/>
        <v>24945.51282051282</v>
      </c>
      <c r="P47" s="80"/>
    </row>
    <row r="48" spans="2:16" ht="21.6" customHeight="1" x14ac:dyDescent="0.35">
      <c r="B48" s="34" t="s">
        <v>112</v>
      </c>
      <c r="C48" s="7"/>
      <c r="D48" s="7"/>
      <c r="E48" s="7"/>
      <c r="F48" s="7"/>
      <c r="G48" s="183">
        <v>0</v>
      </c>
      <c r="H48" s="183">
        <v>0</v>
      </c>
      <c r="I48" s="183">
        <v>0</v>
      </c>
      <c r="J48" s="183">
        <v>0</v>
      </c>
      <c r="K48" s="6">
        <v>0</v>
      </c>
      <c r="L48" s="6">
        <v>0</v>
      </c>
      <c r="M48" s="6">
        <v>0</v>
      </c>
      <c r="N48" s="6">
        <v>0</v>
      </c>
      <c r="O48" s="6">
        <v>0</v>
      </c>
      <c r="P48" s="80"/>
    </row>
    <row r="49" spans="2:16" ht="23.1" customHeight="1" x14ac:dyDescent="0.35">
      <c r="B49" s="36" t="s">
        <v>34</v>
      </c>
      <c r="C49" s="36">
        <v>40000</v>
      </c>
      <c r="D49" s="36">
        <f>27445+29246+18519</f>
        <v>75210</v>
      </c>
      <c r="E49" s="36">
        <v>100000</v>
      </c>
      <c r="F49" s="37">
        <f>SUM(C49:E49)</f>
        <v>215210</v>
      </c>
      <c r="G49" s="179">
        <v>0</v>
      </c>
      <c r="H49" s="179">
        <v>441025.641025641</v>
      </c>
      <c r="I49" s="179">
        <v>645000</v>
      </c>
      <c r="J49" s="173">
        <f t="shared" si="1"/>
        <v>1086025.641025641</v>
      </c>
      <c r="K49" s="45">
        <v>0</v>
      </c>
      <c r="L49" s="45">
        <v>441025.641025641</v>
      </c>
      <c r="M49" s="45">
        <v>645000</v>
      </c>
      <c r="N49" s="41">
        <f t="shared" si="13"/>
        <v>1086025.641025641</v>
      </c>
      <c r="O49" s="41">
        <f t="shared" si="2"/>
        <v>2387261.282051282</v>
      </c>
      <c r="P49" s="80"/>
    </row>
    <row r="50" spans="2:16" ht="18.899999999999999" customHeight="1" x14ac:dyDescent="0.35">
      <c r="B50" s="36" t="s">
        <v>127</v>
      </c>
      <c r="C50" s="36"/>
      <c r="D50" s="36">
        <v>80000</v>
      </c>
      <c r="E50" s="36">
        <v>106000</v>
      </c>
      <c r="F50" s="37">
        <f t="shared" ref="F50:F60" si="14">SUM(C50:E50)</f>
        <v>186000</v>
      </c>
      <c r="G50" s="179">
        <v>0</v>
      </c>
      <c r="H50" s="179">
        <v>882051.282051282</v>
      </c>
      <c r="I50" s="179">
        <v>1290000</v>
      </c>
      <c r="J50" s="173">
        <f t="shared" si="1"/>
        <v>2172051.282051282</v>
      </c>
      <c r="K50" s="45">
        <v>0</v>
      </c>
      <c r="L50" s="45">
        <v>882051.282051282</v>
      </c>
      <c r="M50" s="45">
        <v>1290000</v>
      </c>
      <c r="N50" s="41">
        <f t="shared" si="13"/>
        <v>2172051.282051282</v>
      </c>
      <c r="O50" s="41">
        <f t="shared" si="2"/>
        <v>4530102.564102564</v>
      </c>
      <c r="P50" s="80"/>
    </row>
    <row r="51" spans="2:16" ht="19.5" customHeight="1" x14ac:dyDescent="0.35">
      <c r="B51" s="36" t="s">
        <v>35</v>
      </c>
      <c r="C51" s="36">
        <v>0</v>
      </c>
      <c r="D51" s="36">
        <v>0</v>
      </c>
      <c r="E51" s="36">
        <v>0</v>
      </c>
      <c r="F51" s="37">
        <f t="shared" si="14"/>
        <v>0</v>
      </c>
      <c r="G51" s="179">
        <v>0</v>
      </c>
      <c r="H51" s="179">
        <v>132307.69230769231</v>
      </c>
      <c r="I51" s="179">
        <v>322500</v>
      </c>
      <c r="J51" s="173">
        <f t="shared" si="1"/>
        <v>454807.69230769231</v>
      </c>
      <c r="K51" s="45">
        <v>0</v>
      </c>
      <c r="L51" s="45">
        <v>132307.69230769231</v>
      </c>
      <c r="M51" s="45">
        <v>322500</v>
      </c>
      <c r="N51" s="41">
        <f t="shared" si="13"/>
        <v>454807.69230769231</v>
      </c>
      <c r="O51" s="41">
        <f t="shared" si="2"/>
        <v>909615.38461538462</v>
      </c>
      <c r="P51" s="80"/>
    </row>
    <row r="52" spans="2:16" ht="21" customHeight="1" x14ac:dyDescent="0.35">
      <c r="B52" s="36" t="s">
        <v>36</v>
      </c>
      <c r="C52" s="36">
        <v>0</v>
      </c>
      <c r="D52" s="36">
        <v>0</v>
      </c>
      <c r="E52" s="36">
        <v>0</v>
      </c>
      <c r="F52" s="37">
        <f t="shared" si="14"/>
        <v>0</v>
      </c>
      <c r="G52" s="179">
        <v>0</v>
      </c>
      <c r="H52" s="179">
        <v>157128.20512820513</v>
      </c>
      <c r="I52" s="179">
        <v>236250</v>
      </c>
      <c r="J52" s="173">
        <f t="shared" si="1"/>
        <v>393378.20512820513</v>
      </c>
      <c r="K52" s="45">
        <v>0</v>
      </c>
      <c r="L52" s="45">
        <v>157128.20512820513</v>
      </c>
      <c r="M52" s="45">
        <v>236250</v>
      </c>
      <c r="N52" s="41">
        <f t="shared" si="13"/>
        <v>393378.20512820513</v>
      </c>
      <c r="O52" s="41">
        <f t="shared" si="2"/>
        <v>786756.41025641025</v>
      </c>
      <c r="P52" s="80"/>
    </row>
    <row r="53" spans="2:16" ht="21" customHeight="1" x14ac:dyDescent="0.35">
      <c r="B53" s="36" t="s">
        <v>128</v>
      </c>
      <c r="C53" s="36">
        <v>0</v>
      </c>
      <c r="D53" s="36">
        <v>90037</v>
      </c>
      <c r="E53" s="36">
        <v>0</v>
      </c>
      <c r="F53" s="37">
        <f t="shared" si="14"/>
        <v>90037</v>
      </c>
      <c r="G53" s="179">
        <v>0</v>
      </c>
      <c r="H53" s="179">
        <v>396923.07692307694</v>
      </c>
      <c r="I53" s="179">
        <v>645000</v>
      </c>
      <c r="J53" s="173">
        <f t="shared" si="1"/>
        <v>1041923.076923077</v>
      </c>
      <c r="K53" s="45">
        <v>0</v>
      </c>
      <c r="L53" s="45">
        <v>396923.07692307694</v>
      </c>
      <c r="M53" s="45">
        <v>645000</v>
      </c>
      <c r="N53" s="41">
        <f t="shared" si="13"/>
        <v>1041923.076923077</v>
      </c>
      <c r="O53" s="41">
        <f t="shared" si="2"/>
        <v>2173883.153846154</v>
      </c>
      <c r="P53" s="80"/>
    </row>
    <row r="54" spans="2:16" ht="24" customHeight="1" x14ac:dyDescent="0.35">
      <c r="B54" s="36" t="s">
        <v>37</v>
      </c>
      <c r="C54" s="36">
        <v>0</v>
      </c>
      <c r="D54" s="36">
        <v>0</v>
      </c>
      <c r="E54" s="36">
        <v>0</v>
      </c>
      <c r="F54" s="37">
        <f t="shared" si="14"/>
        <v>0</v>
      </c>
      <c r="G54" s="179">
        <v>0</v>
      </c>
      <c r="H54" s="179">
        <v>13230.76923076923</v>
      </c>
      <c r="I54" s="179">
        <v>21500</v>
      </c>
      <c r="J54" s="173">
        <f t="shared" si="1"/>
        <v>34730.769230769234</v>
      </c>
      <c r="K54" s="45">
        <v>0</v>
      </c>
      <c r="L54" s="45">
        <v>13230.76923076923</v>
      </c>
      <c r="M54" s="45">
        <v>21500</v>
      </c>
      <c r="N54" s="41">
        <f t="shared" si="13"/>
        <v>34730.769230769234</v>
      </c>
      <c r="O54" s="41">
        <f t="shared" si="2"/>
        <v>69461.538461538468</v>
      </c>
      <c r="P54" s="80"/>
    </row>
    <row r="55" spans="2:16" ht="20.399999999999999" customHeight="1" x14ac:dyDescent="0.35">
      <c r="B55" s="36" t="s">
        <v>38</v>
      </c>
      <c r="C55" s="36">
        <v>0</v>
      </c>
      <c r="D55" s="36">
        <v>0</v>
      </c>
      <c r="E55" s="36">
        <v>0</v>
      </c>
      <c r="F55" s="37">
        <f t="shared" si="14"/>
        <v>0</v>
      </c>
      <c r="G55" s="179">
        <v>0</v>
      </c>
      <c r="H55" s="179">
        <v>4410.2564102564102</v>
      </c>
      <c r="I55" s="179">
        <v>8062.5</v>
      </c>
      <c r="J55" s="173">
        <f t="shared" si="1"/>
        <v>12472.75641025641</v>
      </c>
      <c r="K55" s="45">
        <v>0</v>
      </c>
      <c r="L55" s="45">
        <v>4410.2564102564102</v>
      </c>
      <c r="M55" s="45">
        <v>8062.5</v>
      </c>
      <c r="N55" s="41">
        <f t="shared" si="13"/>
        <v>12472.75641025641</v>
      </c>
      <c r="O55" s="41">
        <f t="shared" si="2"/>
        <v>24945.51282051282</v>
      </c>
      <c r="P55" s="80"/>
    </row>
    <row r="56" spans="2:16" ht="20.399999999999999" customHeight="1" x14ac:dyDescent="0.35">
      <c r="B56" s="36" t="s">
        <v>39</v>
      </c>
      <c r="C56" s="36">
        <v>0</v>
      </c>
      <c r="D56" s="36">
        <v>0</v>
      </c>
      <c r="E56" s="36">
        <v>0</v>
      </c>
      <c r="F56" s="37">
        <f t="shared" si="14"/>
        <v>0</v>
      </c>
      <c r="G56" s="179">
        <v>0</v>
      </c>
      <c r="H56" s="179">
        <v>13230.76923076923</v>
      </c>
      <c r="I56" s="179">
        <v>21500</v>
      </c>
      <c r="J56" s="173">
        <f t="shared" si="1"/>
        <v>34730.769230769234</v>
      </c>
      <c r="K56" s="45">
        <v>0</v>
      </c>
      <c r="L56" s="45">
        <v>13230.76923076923</v>
      </c>
      <c r="M56" s="45">
        <v>21500</v>
      </c>
      <c r="N56" s="41">
        <f t="shared" si="13"/>
        <v>34730.769230769234</v>
      </c>
      <c r="O56" s="41">
        <f t="shared" si="2"/>
        <v>69461.538461538468</v>
      </c>
      <c r="P56" s="80"/>
    </row>
    <row r="57" spans="2:16" ht="18.600000000000001" customHeight="1" x14ac:dyDescent="0.35">
      <c r="B57" s="36" t="s">
        <v>40</v>
      </c>
      <c r="C57" s="36">
        <v>0</v>
      </c>
      <c r="D57" s="36">
        <v>0</v>
      </c>
      <c r="E57" s="36">
        <v>0</v>
      </c>
      <c r="F57" s="37">
        <f t="shared" si="14"/>
        <v>0</v>
      </c>
      <c r="G57" s="179">
        <v>0</v>
      </c>
      <c r="H57" s="179">
        <v>0</v>
      </c>
      <c r="I57" s="179">
        <v>107500</v>
      </c>
      <c r="J57" s="173">
        <f t="shared" si="1"/>
        <v>107500</v>
      </c>
      <c r="K57" s="45">
        <v>0</v>
      </c>
      <c r="L57" s="45">
        <v>0</v>
      </c>
      <c r="M57" s="45">
        <v>107500</v>
      </c>
      <c r="N57" s="41">
        <f t="shared" si="13"/>
        <v>107500</v>
      </c>
      <c r="O57" s="41">
        <f t="shared" si="2"/>
        <v>215000</v>
      </c>
      <c r="P57" s="80"/>
    </row>
    <row r="58" spans="2:16" ht="21.6" customHeight="1" x14ac:dyDescent="0.35">
      <c r="B58" s="36" t="s">
        <v>41</v>
      </c>
      <c r="C58" s="36">
        <v>0</v>
      </c>
      <c r="D58" s="36">
        <v>0</v>
      </c>
      <c r="E58" s="36">
        <v>0</v>
      </c>
      <c r="F58" s="37">
        <f t="shared" si="14"/>
        <v>0</v>
      </c>
      <c r="G58" s="179">
        <v>0</v>
      </c>
      <c r="H58" s="179">
        <v>88205.128205128203</v>
      </c>
      <c r="I58" s="179">
        <v>161250</v>
      </c>
      <c r="J58" s="173">
        <f t="shared" si="1"/>
        <v>249455.12820512819</v>
      </c>
      <c r="K58" s="45">
        <v>0</v>
      </c>
      <c r="L58" s="45">
        <v>88205.128205128203</v>
      </c>
      <c r="M58" s="45">
        <v>161250</v>
      </c>
      <c r="N58" s="41">
        <f t="shared" si="13"/>
        <v>249455.12820512819</v>
      </c>
      <c r="O58" s="41">
        <f t="shared" si="2"/>
        <v>498910.25641025638</v>
      </c>
      <c r="P58" s="80"/>
    </row>
    <row r="59" spans="2:16" ht="18.899999999999999" customHeight="1" x14ac:dyDescent="0.35">
      <c r="B59" s="36" t="s">
        <v>42</v>
      </c>
      <c r="C59" s="36">
        <v>0</v>
      </c>
      <c r="D59" s="36">
        <v>0</v>
      </c>
      <c r="E59" s="36">
        <v>0</v>
      </c>
      <c r="F59" s="37">
        <f t="shared" si="14"/>
        <v>0</v>
      </c>
      <c r="G59" s="179">
        <v>0</v>
      </c>
      <c r="H59" s="179">
        <v>88205.128205128203</v>
      </c>
      <c r="I59" s="179">
        <v>161250</v>
      </c>
      <c r="J59" s="173">
        <f t="shared" si="1"/>
        <v>249455.12820512819</v>
      </c>
      <c r="K59" s="45">
        <v>0</v>
      </c>
      <c r="L59" s="45">
        <v>88205.128205128203</v>
      </c>
      <c r="M59" s="45">
        <v>161250</v>
      </c>
      <c r="N59" s="41">
        <f t="shared" si="13"/>
        <v>249455.12820512819</v>
      </c>
      <c r="O59" s="41">
        <f t="shared" si="2"/>
        <v>498910.25641025638</v>
      </c>
      <c r="P59" s="80"/>
    </row>
    <row r="60" spans="2:16" ht="21.9" customHeight="1" x14ac:dyDescent="0.35">
      <c r="B60" s="48" t="s">
        <v>43</v>
      </c>
      <c r="C60" s="48">
        <v>0</v>
      </c>
      <c r="D60" s="48">
        <v>0</v>
      </c>
      <c r="E60" s="48">
        <v>0</v>
      </c>
      <c r="F60" s="37">
        <f t="shared" si="14"/>
        <v>0</v>
      </c>
      <c r="G60" s="179">
        <v>0</v>
      </c>
      <c r="H60" s="179">
        <v>13230.76923076923</v>
      </c>
      <c r="I60" s="179">
        <v>21500</v>
      </c>
      <c r="J60" s="173">
        <f t="shared" si="1"/>
        <v>34730.769230769234</v>
      </c>
      <c r="K60" s="49">
        <v>0</v>
      </c>
      <c r="L60" s="45">
        <v>13230.76923076923</v>
      </c>
      <c r="M60" s="45">
        <v>21500</v>
      </c>
      <c r="N60" s="41">
        <f t="shared" si="13"/>
        <v>34730.769230769234</v>
      </c>
      <c r="O60" s="41">
        <f t="shared" si="2"/>
        <v>69461.538461538468</v>
      </c>
      <c r="P60" s="80"/>
    </row>
    <row r="61" spans="2:16" s="19" customFormat="1" ht="21" customHeight="1" x14ac:dyDescent="0.35">
      <c r="B61" s="30" t="s">
        <v>105</v>
      </c>
      <c r="C61" s="30">
        <f t="shared" ref="C61:O61" si="15">SUM(C39:C60)</f>
        <v>50100</v>
      </c>
      <c r="D61" s="30">
        <f t="shared" si="15"/>
        <v>245247</v>
      </c>
      <c r="E61" s="30">
        <f t="shared" si="15"/>
        <v>206000</v>
      </c>
      <c r="F61" s="30">
        <f t="shared" si="15"/>
        <v>501347</v>
      </c>
      <c r="G61" s="184">
        <f t="shared" si="15"/>
        <v>0</v>
      </c>
      <c r="H61" s="184">
        <f t="shared" si="15"/>
        <v>2605261.5384615376</v>
      </c>
      <c r="I61" s="184">
        <f t="shared" si="15"/>
        <v>4322325</v>
      </c>
      <c r="J61" s="184">
        <f t="shared" si="15"/>
        <v>6927586.5384615371</v>
      </c>
      <c r="K61" s="30">
        <f t="shared" si="15"/>
        <v>0</v>
      </c>
      <c r="L61" s="30">
        <f t="shared" si="15"/>
        <v>2605261.5384615376</v>
      </c>
      <c r="M61" s="30">
        <f t="shared" si="15"/>
        <v>4322325</v>
      </c>
      <c r="N61" s="30">
        <f t="shared" si="15"/>
        <v>6927586.5384615371</v>
      </c>
      <c r="O61" s="30">
        <f t="shared" si="15"/>
        <v>14356520.076923074</v>
      </c>
      <c r="P61" s="80"/>
    </row>
    <row r="62" spans="2:16" ht="18" customHeight="1" x14ac:dyDescent="0.35">
      <c r="B62" s="141" t="s">
        <v>104</v>
      </c>
      <c r="C62" s="153"/>
      <c r="D62" s="153"/>
      <c r="E62" s="153"/>
      <c r="F62" s="153"/>
      <c r="G62" s="153"/>
      <c r="H62" s="153"/>
      <c r="I62" s="153"/>
      <c r="J62" s="153"/>
      <c r="K62" s="153"/>
      <c r="L62" s="153"/>
      <c r="M62" s="153"/>
      <c r="N62" s="153"/>
      <c r="O62" s="154"/>
      <c r="P62" s="80"/>
    </row>
    <row r="63" spans="2:16" ht="22.35" customHeight="1" x14ac:dyDescent="0.35">
      <c r="B63" s="144" t="s">
        <v>106</v>
      </c>
      <c r="C63" s="145"/>
      <c r="D63" s="145"/>
      <c r="E63" s="145"/>
      <c r="F63" s="145"/>
      <c r="G63" s="145"/>
      <c r="H63" s="145"/>
      <c r="I63" s="145"/>
      <c r="J63" s="145"/>
      <c r="K63" s="145"/>
      <c r="L63" s="145"/>
      <c r="M63" s="145"/>
      <c r="N63" s="145"/>
      <c r="O63" s="146"/>
      <c r="P63" s="80"/>
    </row>
    <row r="64" spans="2:16" ht="47.1" customHeight="1" x14ac:dyDescent="0.35">
      <c r="B64" s="36" t="s">
        <v>129</v>
      </c>
      <c r="C64" s="36">
        <v>0</v>
      </c>
      <c r="D64" s="36">
        <v>0</v>
      </c>
      <c r="E64" s="36">
        <v>0</v>
      </c>
      <c r="F64" s="37">
        <f>SUM(C64:E64)</f>
        <v>0</v>
      </c>
      <c r="G64" s="179">
        <v>274400</v>
      </c>
      <c r="H64" s="179">
        <v>164779.48717948719</v>
      </c>
      <c r="I64" s="179">
        <v>507510.125</v>
      </c>
      <c r="J64" s="173">
        <f t="shared" ref="J64:J102" si="16">SUM(G64:I64)</f>
        <v>946689.61217948725</v>
      </c>
      <c r="K64" s="45">
        <v>274400</v>
      </c>
      <c r="L64" s="45">
        <v>164779.48717948719</v>
      </c>
      <c r="M64" s="45">
        <v>507510.125</v>
      </c>
      <c r="N64" s="41">
        <f>SUM(K64:M64)</f>
        <v>946689.61217948725</v>
      </c>
      <c r="O64" s="41">
        <f t="shared" ref="O64:O118" si="17">F64+J64+N64</f>
        <v>1893379.2243589745</v>
      </c>
      <c r="P64" s="80"/>
    </row>
    <row r="65" spans="2:16" ht="25.5" customHeight="1" x14ac:dyDescent="0.35">
      <c r="B65" s="144" t="s">
        <v>112</v>
      </c>
      <c r="C65" s="145"/>
      <c r="D65" s="145"/>
      <c r="E65" s="145"/>
      <c r="F65" s="145"/>
      <c r="G65" s="145"/>
      <c r="H65" s="145"/>
      <c r="I65" s="145"/>
      <c r="J65" s="145"/>
      <c r="K65" s="145"/>
      <c r="L65" s="145"/>
      <c r="M65" s="145"/>
      <c r="N65" s="145"/>
      <c r="O65" s="146"/>
      <c r="P65" s="80"/>
    </row>
    <row r="66" spans="2:16" ht="43.5" customHeight="1" x14ac:dyDescent="0.35">
      <c r="B66" s="36" t="s">
        <v>130</v>
      </c>
      <c r="C66" s="36">
        <v>137520</v>
      </c>
      <c r="D66" s="36">
        <v>0</v>
      </c>
      <c r="E66" s="36">
        <v>618000</v>
      </c>
      <c r="F66" s="37">
        <f t="shared" ref="F66:F68" si="18">SUM(C66:E66)</f>
        <v>755520</v>
      </c>
      <c r="G66" s="179">
        <v>1000000</v>
      </c>
      <c r="H66" s="179">
        <v>1600000</v>
      </c>
      <c r="I66" s="179">
        <v>4000000</v>
      </c>
      <c r="J66" s="173">
        <f t="shared" si="16"/>
        <v>6600000</v>
      </c>
      <c r="K66" s="45">
        <v>1000000</v>
      </c>
      <c r="L66" s="45">
        <v>1600000</v>
      </c>
      <c r="M66" s="45">
        <v>4000000</v>
      </c>
      <c r="N66" s="41">
        <f t="shared" ref="N66:N67" si="19">SUM(K66:M66)</f>
        <v>6600000</v>
      </c>
      <c r="O66" s="41">
        <f t="shared" si="17"/>
        <v>13955520</v>
      </c>
      <c r="P66" s="80"/>
    </row>
    <row r="67" spans="2:16" ht="31.5" customHeight="1" x14ac:dyDescent="0.35">
      <c r="B67" s="36" t="s">
        <v>44</v>
      </c>
      <c r="C67" s="36">
        <v>37500</v>
      </c>
      <c r="D67" s="36">
        <v>0</v>
      </c>
      <c r="E67" s="36">
        <v>0</v>
      </c>
      <c r="F67" s="37">
        <f t="shared" si="18"/>
        <v>37500</v>
      </c>
      <c r="G67" s="179">
        <v>625000</v>
      </c>
      <c r="H67" s="179">
        <v>512820.51282051281</v>
      </c>
      <c r="I67" s="179">
        <v>500000</v>
      </c>
      <c r="J67" s="173">
        <f t="shared" si="16"/>
        <v>1637820.5128205128</v>
      </c>
      <c r="K67" s="45">
        <v>625000</v>
      </c>
      <c r="L67" s="45">
        <v>512820.51282051281</v>
      </c>
      <c r="M67" s="45">
        <v>500000</v>
      </c>
      <c r="N67" s="41">
        <f t="shared" si="19"/>
        <v>1637820.5128205128</v>
      </c>
      <c r="O67" s="41">
        <f t="shared" si="17"/>
        <v>3313141.0256410255</v>
      </c>
      <c r="P67" s="80"/>
    </row>
    <row r="68" spans="2:16" ht="27" customHeight="1" x14ac:dyDescent="0.35">
      <c r="B68" s="36" t="s">
        <v>45</v>
      </c>
      <c r="C68" s="36">
        <v>0</v>
      </c>
      <c r="D68" s="50">
        <v>0</v>
      </c>
      <c r="E68" s="36">
        <v>568900</v>
      </c>
      <c r="F68" s="37">
        <f t="shared" si="18"/>
        <v>568900</v>
      </c>
      <c r="G68" s="179">
        <v>850000</v>
      </c>
      <c r="H68" s="179">
        <v>430769.23076923075</v>
      </c>
      <c r="I68" s="179">
        <v>825000</v>
      </c>
      <c r="J68" s="173">
        <f t="shared" si="16"/>
        <v>2105769.230769231</v>
      </c>
      <c r="K68" s="45">
        <v>850000</v>
      </c>
      <c r="L68" s="45">
        <v>430769.23076923075</v>
      </c>
      <c r="M68" s="45">
        <v>825000</v>
      </c>
      <c r="N68" s="41">
        <f>SUM(K68:M68)</f>
        <v>2105769.230769231</v>
      </c>
      <c r="O68" s="41">
        <f t="shared" si="17"/>
        <v>4780438.461538462</v>
      </c>
      <c r="P68" s="80"/>
    </row>
    <row r="69" spans="2:16" ht="17.399999999999999" customHeight="1" x14ac:dyDescent="0.35">
      <c r="B69" s="30" t="s">
        <v>98</v>
      </c>
      <c r="C69" s="30">
        <f t="shared" ref="C69:F69" si="20">SUM(C64:C68)</f>
        <v>175020</v>
      </c>
      <c r="D69" s="30">
        <f t="shared" si="20"/>
        <v>0</v>
      </c>
      <c r="E69" s="30">
        <f t="shared" si="20"/>
        <v>1186900</v>
      </c>
      <c r="F69" s="30">
        <f t="shared" si="20"/>
        <v>1361920</v>
      </c>
      <c r="G69" s="184">
        <f>SUM(G64:G68)</f>
        <v>2749400</v>
      </c>
      <c r="H69" s="184">
        <f t="shared" ref="H69:O69" si="21">SUM(H64:H68)</f>
        <v>2708369.230769231</v>
      </c>
      <c r="I69" s="184">
        <f t="shared" si="21"/>
        <v>5832510.125</v>
      </c>
      <c r="J69" s="184">
        <f t="shared" si="21"/>
        <v>11290279.355769232</v>
      </c>
      <c r="K69" s="30">
        <f t="shared" si="21"/>
        <v>2749400</v>
      </c>
      <c r="L69" s="30">
        <f t="shared" si="21"/>
        <v>2708369.230769231</v>
      </c>
      <c r="M69" s="30">
        <f t="shared" si="21"/>
        <v>5832510.125</v>
      </c>
      <c r="N69" s="30">
        <f t="shared" si="21"/>
        <v>11290279.355769232</v>
      </c>
      <c r="O69" s="30">
        <f t="shared" si="21"/>
        <v>23942478.711538464</v>
      </c>
      <c r="P69" s="80"/>
    </row>
    <row r="70" spans="2:16" s="14" customFormat="1" ht="24" customHeight="1" x14ac:dyDescent="0.35">
      <c r="B70" s="155" t="s">
        <v>162</v>
      </c>
      <c r="C70" s="156"/>
      <c r="D70" s="156"/>
      <c r="E70" s="156"/>
      <c r="F70" s="156"/>
      <c r="G70" s="156"/>
      <c r="H70" s="156"/>
      <c r="I70" s="156"/>
      <c r="J70" s="156"/>
      <c r="K70" s="156"/>
      <c r="L70" s="156"/>
      <c r="M70" s="156"/>
      <c r="N70" s="156"/>
      <c r="O70" s="157"/>
      <c r="P70" s="80"/>
    </row>
    <row r="71" spans="2:16" ht="20.399999999999999" customHeight="1" x14ac:dyDescent="0.35">
      <c r="B71" s="144" t="s">
        <v>5</v>
      </c>
      <c r="C71" s="145"/>
      <c r="D71" s="145"/>
      <c r="E71" s="145"/>
      <c r="F71" s="145"/>
      <c r="G71" s="145"/>
      <c r="H71" s="145"/>
      <c r="I71" s="145"/>
      <c r="J71" s="145"/>
      <c r="K71" s="145"/>
      <c r="L71" s="145"/>
      <c r="M71" s="145"/>
      <c r="N71" s="145"/>
      <c r="O71" s="146"/>
      <c r="P71" s="80"/>
    </row>
    <row r="72" spans="2:16" ht="18" x14ac:dyDescent="0.35">
      <c r="B72" s="43" t="s">
        <v>46</v>
      </c>
      <c r="C72" s="43">
        <v>0</v>
      </c>
      <c r="D72" s="43">
        <v>0</v>
      </c>
      <c r="E72" s="43">
        <v>0</v>
      </c>
      <c r="F72" s="40">
        <f>SUM(C72:E72)</f>
        <v>0</v>
      </c>
      <c r="G72" s="179">
        <v>87500</v>
      </c>
      <c r="H72" s="179">
        <v>71794.871794871797</v>
      </c>
      <c r="I72" s="179">
        <v>103125</v>
      </c>
      <c r="J72" s="173">
        <f t="shared" si="16"/>
        <v>262419.87179487181</v>
      </c>
      <c r="K72" s="45">
        <v>87500</v>
      </c>
      <c r="L72" s="45">
        <v>71794.871794871797</v>
      </c>
      <c r="M72" s="45">
        <v>103125</v>
      </c>
      <c r="N72" s="41">
        <f>SUM(K72:M72)</f>
        <v>262419.87179487181</v>
      </c>
      <c r="O72" s="41">
        <f t="shared" si="17"/>
        <v>524839.74358974362</v>
      </c>
      <c r="P72" s="80"/>
    </row>
    <row r="73" spans="2:16" ht="18" x14ac:dyDescent="0.35">
      <c r="B73" s="43" t="s">
        <v>47</v>
      </c>
      <c r="C73" s="43">
        <v>0</v>
      </c>
      <c r="D73" s="43">
        <v>0</v>
      </c>
      <c r="E73" s="43">
        <v>0</v>
      </c>
      <c r="F73" s="40">
        <f t="shared" ref="F73:F86" si="22">SUM(C73:E73)</f>
        <v>0</v>
      </c>
      <c r="G73" s="179">
        <v>12500</v>
      </c>
      <c r="H73" s="179">
        <v>10256.410256410256</v>
      </c>
      <c r="I73" s="179">
        <v>25000</v>
      </c>
      <c r="J73" s="173">
        <f t="shared" si="16"/>
        <v>47756.410256410258</v>
      </c>
      <c r="K73" s="45">
        <v>12500</v>
      </c>
      <c r="L73" s="45">
        <v>10256.410256410256</v>
      </c>
      <c r="M73" s="45">
        <v>25000</v>
      </c>
      <c r="N73" s="41">
        <f t="shared" ref="N73:N86" si="23">SUM(K73:M73)</f>
        <v>47756.410256410258</v>
      </c>
      <c r="O73" s="41">
        <f t="shared" si="17"/>
        <v>95512.820512820515</v>
      </c>
      <c r="P73" s="80"/>
    </row>
    <row r="74" spans="2:16" ht="18" x14ac:dyDescent="0.35">
      <c r="B74" s="43" t="s">
        <v>48</v>
      </c>
      <c r="C74" s="43">
        <v>0</v>
      </c>
      <c r="D74" s="43">
        <v>0</v>
      </c>
      <c r="E74" s="43">
        <v>0</v>
      </c>
      <c r="F74" s="40">
        <f t="shared" si="22"/>
        <v>0</v>
      </c>
      <c r="G74" s="179">
        <v>180000</v>
      </c>
      <c r="H74" s="179">
        <v>147692.30769230769</v>
      </c>
      <c r="I74" s="179">
        <v>150000</v>
      </c>
      <c r="J74" s="173">
        <f t="shared" si="16"/>
        <v>477692.30769230769</v>
      </c>
      <c r="K74" s="45">
        <v>180000</v>
      </c>
      <c r="L74" s="45">
        <v>147692.30769230769</v>
      </c>
      <c r="M74" s="45">
        <v>150000</v>
      </c>
      <c r="N74" s="41">
        <f t="shared" si="23"/>
        <v>477692.30769230769</v>
      </c>
      <c r="O74" s="41">
        <f t="shared" si="17"/>
        <v>955384.61538461538</v>
      </c>
      <c r="P74" s="80"/>
    </row>
    <row r="75" spans="2:16" ht="18" x14ac:dyDescent="0.35">
      <c r="B75" s="43" t="s">
        <v>49</v>
      </c>
      <c r="C75" s="43">
        <v>0</v>
      </c>
      <c r="D75" s="43">
        <v>0</v>
      </c>
      <c r="E75" s="43">
        <v>0</v>
      </c>
      <c r="F75" s="40">
        <f t="shared" si="22"/>
        <v>0</v>
      </c>
      <c r="G75" s="179">
        <v>9000</v>
      </c>
      <c r="H75" s="179">
        <v>7384.6153846153848</v>
      </c>
      <c r="I75" s="179">
        <v>10000</v>
      </c>
      <c r="J75" s="173">
        <f t="shared" si="16"/>
        <v>26384.615384615383</v>
      </c>
      <c r="K75" s="45">
        <v>9000</v>
      </c>
      <c r="L75" s="45">
        <v>7384.6153846153848</v>
      </c>
      <c r="M75" s="45">
        <v>10000</v>
      </c>
      <c r="N75" s="41">
        <f t="shared" si="23"/>
        <v>26384.615384615383</v>
      </c>
      <c r="O75" s="41">
        <f t="shared" si="17"/>
        <v>52769.230769230766</v>
      </c>
      <c r="P75" s="80"/>
    </row>
    <row r="76" spans="2:16" ht="18" x14ac:dyDescent="0.35">
      <c r="B76" s="43" t="s">
        <v>50</v>
      </c>
      <c r="C76" s="43">
        <v>0</v>
      </c>
      <c r="D76" s="43">
        <v>0</v>
      </c>
      <c r="E76" s="43">
        <v>0</v>
      </c>
      <c r="F76" s="40">
        <f t="shared" si="22"/>
        <v>0</v>
      </c>
      <c r="G76" s="179">
        <v>13750</v>
      </c>
      <c r="H76" s="179">
        <v>11282.051282051281</v>
      </c>
      <c r="I76" s="179">
        <v>18750</v>
      </c>
      <c r="J76" s="173">
        <f t="shared" si="16"/>
        <v>43782.051282051281</v>
      </c>
      <c r="K76" s="45">
        <v>13750</v>
      </c>
      <c r="L76" s="45">
        <v>11282.051282051281</v>
      </c>
      <c r="M76" s="45">
        <v>18750</v>
      </c>
      <c r="N76" s="41">
        <f t="shared" si="23"/>
        <v>43782.051282051281</v>
      </c>
      <c r="O76" s="41">
        <f t="shared" si="17"/>
        <v>87564.102564102563</v>
      </c>
      <c r="P76" s="80"/>
    </row>
    <row r="77" spans="2:16" ht="18" x14ac:dyDescent="0.35">
      <c r="B77" s="43" t="s">
        <v>51</v>
      </c>
      <c r="C77" s="43">
        <v>0</v>
      </c>
      <c r="D77" s="43">
        <v>0</v>
      </c>
      <c r="E77" s="43">
        <v>0</v>
      </c>
      <c r="F77" s="40">
        <f t="shared" si="22"/>
        <v>0</v>
      </c>
      <c r="G77" s="179">
        <v>18000</v>
      </c>
      <c r="H77" s="179">
        <v>14769.23076923077</v>
      </c>
      <c r="I77" s="179">
        <v>20000</v>
      </c>
      <c r="J77" s="173">
        <f t="shared" si="16"/>
        <v>52769.230769230766</v>
      </c>
      <c r="K77" s="45">
        <v>18000</v>
      </c>
      <c r="L77" s="45">
        <v>14769.23076923077</v>
      </c>
      <c r="M77" s="45">
        <v>20000</v>
      </c>
      <c r="N77" s="41">
        <f t="shared" si="23"/>
        <v>52769.230769230766</v>
      </c>
      <c r="O77" s="41">
        <f t="shared" si="17"/>
        <v>105538.46153846153</v>
      </c>
      <c r="P77" s="80"/>
    </row>
    <row r="78" spans="2:16" ht="18" x14ac:dyDescent="0.35">
      <c r="B78" s="43" t="s">
        <v>52</v>
      </c>
      <c r="C78" s="43"/>
      <c r="D78" s="43">
        <v>0</v>
      </c>
      <c r="E78" s="43">
        <v>0</v>
      </c>
      <c r="F78" s="40">
        <f t="shared" si="22"/>
        <v>0</v>
      </c>
      <c r="G78" s="179">
        <v>25000</v>
      </c>
      <c r="H78" s="179">
        <v>61538.461538461539</v>
      </c>
      <c r="I78" s="179">
        <v>250000</v>
      </c>
      <c r="J78" s="173">
        <f t="shared" si="16"/>
        <v>336538.4615384615</v>
      </c>
      <c r="K78" s="45">
        <v>25000</v>
      </c>
      <c r="L78" s="45">
        <v>61538.461538461539</v>
      </c>
      <c r="M78" s="45">
        <v>250000</v>
      </c>
      <c r="N78" s="41">
        <f t="shared" si="23"/>
        <v>336538.4615384615</v>
      </c>
      <c r="O78" s="41">
        <f t="shared" si="17"/>
        <v>673076.92307692301</v>
      </c>
      <c r="P78" s="80"/>
    </row>
    <row r="79" spans="2:16" ht="19.350000000000001" customHeight="1" x14ac:dyDescent="0.35">
      <c r="B79" s="144" t="s">
        <v>112</v>
      </c>
      <c r="C79" s="145"/>
      <c r="D79" s="145"/>
      <c r="E79" s="145"/>
      <c r="F79" s="145"/>
      <c r="G79" s="145"/>
      <c r="H79" s="145"/>
      <c r="I79" s="145"/>
      <c r="J79" s="145"/>
      <c r="K79" s="145"/>
      <c r="L79" s="145"/>
      <c r="M79" s="145"/>
      <c r="N79" s="145"/>
      <c r="O79" s="146"/>
      <c r="P79" s="80"/>
    </row>
    <row r="80" spans="2:16" ht="18" x14ac:dyDescent="0.35">
      <c r="B80" s="43" t="s">
        <v>53</v>
      </c>
      <c r="C80" s="43">
        <v>0</v>
      </c>
      <c r="D80" s="43">
        <v>0</v>
      </c>
      <c r="E80" s="43">
        <v>0</v>
      </c>
      <c r="F80" s="40">
        <f t="shared" si="22"/>
        <v>0</v>
      </c>
      <c r="G80" s="179">
        <v>250000</v>
      </c>
      <c r="H80" s="179">
        <v>153846.15384615384</v>
      </c>
      <c r="I80" s="179">
        <v>187500</v>
      </c>
      <c r="J80" s="173">
        <f t="shared" si="16"/>
        <v>591346.15384615387</v>
      </c>
      <c r="K80" s="45">
        <v>250000</v>
      </c>
      <c r="L80" s="45">
        <v>153846.15384615384</v>
      </c>
      <c r="M80" s="45">
        <v>187500</v>
      </c>
      <c r="N80" s="41">
        <f t="shared" si="23"/>
        <v>591346.15384615387</v>
      </c>
      <c r="O80" s="41">
        <f t="shared" si="17"/>
        <v>1182692.3076923077</v>
      </c>
      <c r="P80" s="80"/>
    </row>
    <row r="81" spans="2:16" ht="18" x14ac:dyDescent="0.35">
      <c r="B81" s="36" t="s">
        <v>54</v>
      </c>
      <c r="C81" s="36">
        <v>50000</v>
      </c>
      <c r="D81" s="36">
        <v>0</v>
      </c>
      <c r="E81" s="36">
        <v>0</v>
      </c>
      <c r="F81" s="40">
        <f t="shared" si="22"/>
        <v>50000</v>
      </c>
      <c r="G81" s="179">
        <v>150000</v>
      </c>
      <c r="H81" s="179">
        <v>184615.3846153846</v>
      </c>
      <c r="I81" s="179">
        <v>225000</v>
      </c>
      <c r="J81" s="173">
        <f t="shared" si="16"/>
        <v>559615.38461538462</v>
      </c>
      <c r="K81" s="45">
        <v>150000</v>
      </c>
      <c r="L81" s="45">
        <v>184615.3846153846</v>
      </c>
      <c r="M81" s="45">
        <v>225000</v>
      </c>
      <c r="N81" s="41">
        <f t="shared" si="23"/>
        <v>559615.38461538462</v>
      </c>
      <c r="O81" s="41">
        <f t="shared" si="17"/>
        <v>1169230.7692307692</v>
      </c>
      <c r="P81" s="80"/>
    </row>
    <row r="82" spans="2:16" ht="18" x14ac:dyDescent="0.35">
      <c r="B82" s="36" t="s">
        <v>55</v>
      </c>
      <c r="C82" s="36">
        <v>115740</v>
      </c>
      <c r="D82" s="36">
        <f>374890+26730+99944</f>
        <v>501564</v>
      </c>
      <c r="E82" s="36">
        <v>100000</v>
      </c>
      <c r="F82" s="40">
        <f t="shared" si="22"/>
        <v>717304</v>
      </c>
      <c r="G82" s="179">
        <v>0</v>
      </c>
      <c r="H82" s="179">
        <v>0</v>
      </c>
      <c r="I82" s="179">
        <v>0</v>
      </c>
      <c r="J82" s="173">
        <f t="shared" si="16"/>
        <v>0</v>
      </c>
      <c r="K82" s="45">
        <v>0</v>
      </c>
      <c r="L82" s="45">
        <v>0</v>
      </c>
      <c r="M82" s="45">
        <v>0</v>
      </c>
      <c r="N82" s="41">
        <f t="shared" si="23"/>
        <v>0</v>
      </c>
      <c r="O82" s="41">
        <f t="shared" si="17"/>
        <v>717304</v>
      </c>
      <c r="P82" s="80"/>
    </row>
    <row r="83" spans="2:16" ht="18" x14ac:dyDescent="0.35">
      <c r="B83" s="36" t="s">
        <v>56</v>
      </c>
      <c r="C83" s="36">
        <v>0</v>
      </c>
      <c r="D83" s="36">
        <v>0</v>
      </c>
      <c r="E83" s="36">
        <v>0</v>
      </c>
      <c r="F83" s="40">
        <f t="shared" si="22"/>
        <v>0</v>
      </c>
      <c r="G83" s="179">
        <v>180000</v>
      </c>
      <c r="H83" s="179">
        <v>295384.61538461538</v>
      </c>
      <c r="I83" s="179">
        <v>360000</v>
      </c>
      <c r="J83" s="173">
        <f t="shared" si="16"/>
        <v>835384.61538461538</v>
      </c>
      <c r="K83" s="45">
        <v>180000</v>
      </c>
      <c r="L83" s="45">
        <v>295384.61538461538</v>
      </c>
      <c r="M83" s="45">
        <v>360000</v>
      </c>
      <c r="N83" s="41">
        <f t="shared" si="23"/>
        <v>835384.61538461538</v>
      </c>
      <c r="O83" s="41">
        <f t="shared" si="17"/>
        <v>1670769.2307692308</v>
      </c>
      <c r="P83" s="80"/>
    </row>
    <row r="84" spans="2:16" ht="18" x14ac:dyDescent="0.35">
      <c r="B84" s="36" t="s">
        <v>57</v>
      </c>
      <c r="C84" s="36">
        <v>42840</v>
      </c>
      <c r="D84" s="36">
        <v>205556</v>
      </c>
      <c r="E84" s="36">
        <v>0</v>
      </c>
      <c r="F84" s="40">
        <f t="shared" si="22"/>
        <v>248396</v>
      </c>
      <c r="G84" s="179">
        <v>4312500</v>
      </c>
      <c r="H84" s="179">
        <v>2830769.2307692305</v>
      </c>
      <c r="I84" s="179">
        <v>3450000</v>
      </c>
      <c r="J84" s="173">
        <f t="shared" si="16"/>
        <v>10593269.23076923</v>
      </c>
      <c r="K84" s="45">
        <v>4312500</v>
      </c>
      <c r="L84" s="45">
        <v>2830769.2307692305</v>
      </c>
      <c r="M84" s="45">
        <v>3450000</v>
      </c>
      <c r="N84" s="41">
        <f t="shared" si="23"/>
        <v>10593269.23076923</v>
      </c>
      <c r="O84" s="41">
        <f t="shared" si="17"/>
        <v>21434934.46153846</v>
      </c>
      <c r="P84" s="80"/>
    </row>
    <row r="85" spans="2:16" ht="18" x14ac:dyDescent="0.35">
      <c r="B85" s="36" t="s">
        <v>58</v>
      </c>
      <c r="C85" s="36">
        <v>0</v>
      </c>
      <c r="D85" s="36">
        <v>18148</v>
      </c>
      <c r="E85" s="36">
        <v>0</v>
      </c>
      <c r="F85" s="40">
        <f t="shared" si="22"/>
        <v>18148</v>
      </c>
      <c r="G85" s="179">
        <v>960000</v>
      </c>
      <c r="H85" s="179">
        <v>590769.23076923075</v>
      </c>
      <c r="I85" s="179">
        <v>720000</v>
      </c>
      <c r="J85" s="173">
        <f t="shared" si="16"/>
        <v>2270769.230769231</v>
      </c>
      <c r="K85" s="45">
        <v>960000</v>
      </c>
      <c r="L85" s="45">
        <v>590769.23076923075</v>
      </c>
      <c r="M85" s="45">
        <v>720000</v>
      </c>
      <c r="N85" s="41">
        <f t="shared" si="23"/>
        <v>2270769.230769231</v>
      </c>
      <c r="O85" s="41">
        <f t="shared" si="17"/>
        <v>4559686.461538462</v>
      </c>
      <c r="P85" s="80"/>
    </row>
    <row r="86" spans="2:16" ht="18" x14ac:dyDescent="0.35">
      <c r="B86" s="36" t="s">
        <v>59</v>
      </c>
      <c r="C86" s="36">
        <v>0</v>
      </c>
      <c r="D86" s="36">
        <v>0</v>
      </c>
      <c r="E86" s="36">
        <v>0</v>
      </c>
      <c r="F86" s="40">
        <f t="shared" si="22"/>
        <v>0</v>
      </c>
      <c r="G86" s="179">
        <v>25000</v>
      </c>
      <c r="H86" s="179">
        <v>51282.051282051281</v>
      </c>
      <c r="I86" s="179">
        <v>125000</v>
      </c>
      <c r="J86" s="173">
        <f t="shared" si="16"/>
        <v>201282.05128205128</v>
      </c>
      <c r="K86" s="45">
        <v>25000</v>
      </c>
      <c r="L86" s="45">
        <v>51282.051282051281</v>
      </c>
      <c r="M86" s="45">
        <v>125000</v>
      </c>
      <c r="N86" s="41">
        <f t="shared" si="23"/>
        <v>201282.05128205128</v>
      </c>
      <c r="O86" s="41">
        <f t="shared" si="17"/>
        <v>402564.10256410256</v>
      </c>
      <c r="P86" s="80"/>
    </row>
    <row r="87" spans="2:16" ht="18.899999999999999" customHeight="1" x14ac:dyDescent="0.35">
      <c r="B87" s="30" t="s">
        <v>98</v>
      </c>
      <c r="C87" s="33">
        <f t="shared" ref="C87:J87" si="24">SUM(C72:C86)</f>
        <v>208580</v>
      </c>
      <c r="D87" s="33">
        <f t="shared" si="24"/>
        <v>725268</v>
      </c>
      <c r="E87" s="33">
        <f t="shared" si="24"/>
        <v>100000</v>
      </c>
      <c r="F87" s="33">
        <f t="shared" si="24"/>
        <v>1033848</v>
      </c>
      <c r="G87" s="185">
        <f t="shared" si="24"/>
        <v>6223250</v>
      </c>
      <c r="H87" s="185">
        <f t="shared" si="24"/>
        <v>4431384.615384615</v>
      </c>
      <c r="I87" s="185">
        <f t="shared" si="24"/>
        <v>5644375</v>
      </c>
      <c r="J87" s="185">
        <f t="shared" si="24"/>
        <v>16299009.615384616</v>
      </c>
      <c r="K87" s="33">
        <f>SUM(K72:K86)</f>
        <v>6223250</v>
      </c>
      <c r="L87" s="33">
        <f>SUM(L72:L86)</f>
        <v>4431384.615384615</v>
      </c>
      <c r="M87" s="33">
        <f>SUM(M72:M86)</f>
        <v>5644375</v>
      </c>
      <c r="N87" s="33">
        <f>SUM(N72:N86)</f>
        <v>16299009.615384616</v>
      </c>
      <c r="O87" s="33">
        <f>SUM(O72:O86)</f>
        <v>33631867.230769232</v>
      </c>
      <c r="P87" s="80"/>
    </row>
    <row r="88" spans="2:16" ht="24.6" customHeight="1" x14ac:dyDescent="0.35">
      <c r="B88" s="141" t="s">
        <v>163</v>
      </c>
      <c r="C88" s="153"/>
      <c r="D88" s="153"/>
      <c r="E88" s="153"/>
      <c r="F88" s="153"/>
      <c r="G88" s="153"/>
      <c r="H88" s="153"/>
      <c r="I88" s="153"/>
      <c r="J88" s="153"/>
      <c r="K88" s="153"/>
      <c r="L88" s="153"/>
      <c r="M88" s="153"/>
      <c r="N88" s="153"/>
      <c r="O88" s="154"/>
      <c r="P88" s="80"/>
    </row>
    <row r="89" spans="2:16" ht="18.600000000000001" customHeight="1" x14ac:dyDescent="0.35">
      <c r="B89" s="144" t="s">
        <v>112</v>
      </c>
      <c r="C89" s="145"/>
      <c r="D89" s="145"/>
      <c r="E89" s="145"/>
      <c r="F89" s="145"/>
      <c r="G89" s="145"/>
      <c r="H89" s="145"/>
      <c r="I89" s="145"/>
      <c r="J89" s="145"/>
      <c r="K89" s="145"/>
      <c r="L89" s="145"/>
      <c r="M89" s="145"/>
      <c r="N89" s="145"/>
      <c r="O89" s="146"/>
      <c r="P89" s="80"/>
    </row>
    <row r="90" spans="2:16" ht="18" x14ac:dyDescent="0.35">
      <c r="B90" s="36" t="s">
        <v>60</v>
      </c>
      <c r="C90" s="36">
        <v>0</v>
      </c>
      <c r="D90" s="36">
        <v>0</v>
      </c>
      <c r="E90" s="36">
        <v>0</v>
      </c>
      <c r="F90" s="37">
        <f t="shared" ref="F90:F91" si="25">SUM(C90:E90)</f>
        <v>0</v>
      </c>
      <c r="G90" s="179">
        <v>48075</v>
      </c>
      <c r="H90" s="179">
        <v>78892.307692307688</v>
      </c>
      <c r="I90" s="179">
        <v>108168.75</v>
      </c>
      <c r="J90" s="173">
        <f t="shared" si="16"/>
        <v>235136.05769230769</v>
      </c>
      <c r="K90" s="45">
        <v>48075</v>
      </c>
      <c r="L90" s="45">
        <v>78892.307692307688</v>
      </c>
      <c r="M90" s="45">
        <v>108168.75</v>
      </c>
      <c r="N90" s="41">
        <f>SUM(K90:M90)</f>
        <v>235136.05769230769</v>
      </c>
      <c r="O90" s="41">
        <f t="shared" si="17"/>
        <v>470272.11538461538</v>
      </c>
      <c r="P90" s="80"/>
    </row>
    <row r="91" spans="2:16" ht="25.5" customHeight="1" x14ac:dyDescent="0.35">
      <c r="B91" s="36" t="s">
        <v>61</v>
      </c>
      <c r="C91" s="36">
        <v>0</v>
      </c>
      <c r="D91" s="36">
        <v>0</v>
      </c>
      <c r="E91" s="36">
        <v>0</v>
      </c>
      <c r="F91" s="37">
        <f t="shared" si="25"/>
        <v>0</v>
      </c>
      <c r="G91" s="179">
        <v>191250</v>
      </c>
      <c r="H91" s="179">
        <v>259532.92307692306</v>
      </c>
      <c r="I91" s="179">
        <v>382500</v>
      </c>
      <c r="J91" s="173">
        <f t="shared" si="16"/>
        <v>833282.92307692301</v>
      </c>
      <c r="K91" s="45">
        <v>191250</v>
      </c>
      <c r="L91" s="45">
        <v>259532.92307692306</v>
      </c>
      <c r="M91" s="45">
        <v>382500</v>
      </c>
      <c r="N91" s="41">
        <f>SUM(K91:M91)</f>
        <v>833282.92307692301</v>
      </c>
      <c r="O91" s="41">
        <f t="shared" si="17"/>
        <v>1666565.846153846</v>
      </c>
      <c r="P91" s="80"/>
    </row>
    <row r="92" spans="2:16" ht="18" x14ac:dyDescent="0.35">
      <c r="B92" s="30" t="s">
        <v>98</v>
      </c>
      <c r="C92" s="30">
        <f>SUM(C90:C91)</f>
        <v>0</v>
      </c>
      <c r="D92" s="30">
        <f t="shared" ref="D92:O92" si="26">SUM(D90:D91)</f>
        <v>0</v>
      </c>
      <c r="E92" s="30">
        <f t="shared" si="26"/>
        <v>0</v>
      </c>
      <c r="F92" s="30">
        <f t="shared" si="26"/>
        <v>0</v>
      </c>
      <c r="G92" s="184">
        <f t="shared" si="26"/>
        <v>239325</v>
      </c>
      <c r="H92" s="184">
        <f t="shared" si="26"/>
        <v>338425.23076923075</v>
      </c>
      <c r="I92" s="184">
        <f t="shared" si="26"/>
        <v>490668.75</v>
      </c>
      <c r="J92" s="184">
        <f t="shared" si="26"/>
        <v>1068418.9807692308</v>
      </c>
      <c r="K92" s="30">
        <f t="shared" si="26"/>
        <v>239325</v>
      </c>
      <c r="L92" s="30">
        <f t="shared" si="26"/>
        <v>338425.23076923075</v>
      </c>
      <c r="M92" s="30">
        <f t="shared" si="26"/>
        <v>490668.75</v>
      </c>
      <c r="N92" s="30">
        <f t="shared" si="26"/>
        <v>1068418.9807692308</v>
      </c>
      <c r="O92" s="30">
        <f t="shared" si="26"/>
        <v>2136837.9615384615</v>
      </c>
      <c r="P92" s="80"/>
    </row>
    <row r="93" spans="2:16" ht="23.4" customHeight="1" thickBot="1" x14ac:dyDescent="0.4">
      <c r="B93" s="61" t="s">
        <v>91</v>
      </c>
      <c r="C93" s="61">
        <f>C92+C87+C69+C61</f>
        <v>433700</v>
      </c>
      <c r="D93" s="61">
        <f t="shared" ref="D93:O93" si="27">D92+D87+D69+D61</f>
        <v>970515</v>
      </c>
      <c r="E93" s="61">
        <f t="shared" si="27"/>
        <v>1492900</v>
      </c>
      <c r="F93" s="61">
        <f t="shared" si="27"/>
        <v>2897115</v>
      </c>
      <c r="G93" s="182">
        <f t="shared" si="27"/>
        <v>9211975</v>
      </c>
      <c r="H93" s="182">
        <f t="shared" si="27"/>
        <v>10083440.615384614</v>
      </c>
      <c r="I93" s="182">
        <f t="shared" si="27"/>
        <v>16289878.875</v>
      </c>
      <c r="J93" s="182">
        <f t="shared" si="27"/>
        <v>35585294.490384616</v>
      </c>
      <c r="K93" s="61">
        <f t="shared" si="27"/>
        <v>9211975</v>
      </c>
      <c r="L93" s="61">
        <f t="shared" si="27"/>
        <v>10083440.615384614</v>
      </c>
      <c r="M93" s="61">
        <f t="shared" si="27"/>
        <v>16289878.875</v>
      </c>
      <c r="N93" s="61">
        <f t="shared" si="27"/>
        <v>35585294.490384616</v>
      </c>
      <c r="O93" s="61">
        <f t="shared" si="27"/>
        <v>74067703.980769232</v>
      </c>
      <c r="P93" s="80"/>
    </row>
    <row r="94" spans="2:16" ht="26.1" customHeight="1" thickTop="1" thickBot="1" x14ac:dyDescent="0.4">
      <c r="B94" s="147" t="s">
        <v>107</v>
      </c>
      <c r="C94" s="148"/>
      <c r="D94" s="148"/>
      <c r="E94" s="148"/>
      <c r="F94" s="148"/>
      <c r="G94" s="148"/>
      <c r="H94" s="148"/>
      <c r="I94" s="148"/>
      <c r="J94" s="148"/>
      <c r="K94" s="148"/>
      <c r="L94" s="148"/>
      <c r="M94" s="148"/>
      <c r="N94" s="148"/>
      <c r="O94" s="149"/>
      <c r="P94" s="80"/>
    </row>
    <row r="95" spans="2:16" ht="18.600000000000001" customHeight="1" thickTop="1" x14ac:dyDescent="0.35">
      <c r="B95" s="150" t="s">
        <v>108</v>
      </c>
      <c r="C95" s="151"/>
      <c r="D95" s="151"/>
      <c r="E95" s="151"/>
      <c r="F95" s="151"/>
      <c r="G95" s="151"/>
      <c r="H95" s="151"/>
      <c r="I95" s="151"/>
      <c r="J95" s="151"/>
      <c r="K95" s="151"/>
      <c r="L95" s="151"/>
      <c r="M95" s="151"/>
      <c r="N95" s="151"/>
      <c r="O95" s="152"/>
      <c r="P95" s="80"/>
    </row>
    <row r="96" spans="2:16" ht="15.6" customHeight="1" x14ac:dyDescent="0.35">
      <c r="B96" s="138" t="s">
        <v>5</v>
      </c>
      <c r="C96" s="139"/>
      <c r="D96" s="139"/>
      <c r="E96" s="139"/>
      <c r="F96" s="139"/>
      <c r="G96" s="139"/>
      <c r="H96" s="139"/>
      <c r="I96" s="139"/>
      <c r="J96" s="139"/>
      <c r="K96" s="139"/>
      <c r="L96" s="139"/>
      <c r="M96" s="139"/>
      <c r="N96" s="139"/>
      <c r="O96" s="140"/>
      <c r="P96" s="80"/>
    </row>
    <row r="97" spans="2:16" ht="17.399999999999999" customHeight="1" x14ac:dyDescent="0.35">
      <c r="B97" s="10" t="s">
        <v>131</v>
      </c>
      <c r="C97" s="36">
        <v>0</v>
      </c>
      <c r="D97" s="36">
        <v>5000</v>
      </c>
      <c r="E97" s="36">
        <v>200000</v>
      </c>
      <c r="F97" s="37">
        <f>SUM(C97:E97)</f>
        <v>205000</v>
      </c>
      <c r="G97" s="179">
        <v>65000</v>
      </c>
      <c r="H97" s="179">
        <v>143589.74358974359</v>
      </c>
      <c r="I97" s="179">
        <v>175000</v>
      </c>
      <c r="J97" s="173">
        <f t="shared" si="16"/>
        <v>383589.74358974362</v>
      </c>
      <c r="K97" s="45">
        <v>65000</v>
      </c>
      <c r="L97" s="45">
        <v>143589.74358974359</v>
      </c>
      <c r="M97" s="45">
        <v>175000</v>
      </c>
      <c r="N97" s="41">
        <f>SUM(K97:M97)</f>
        <v>383589.74358974362</v>
      </c>
      <c r="O97" s="41">
        <f t="shared" si="17"/>
        <v>972179.48717948725</v>
      </c>
      <c r="P97" s="80"/>
    </row>
    <row r="98" spans="2:16" ht="18.600000000000001" customHeight="1" x14ac:dyDescent="0.35">
      <c r="B98" s="10" t="s">
        <v>16</v>
      </c>
      <c r="C98" s="36">
        <v>0</v>
      </c>
      <c r="D98" s="36">
        <v>0</v>
      </c>
      <c r="E98" s="36"/>
      <c r="F98" s="37">
        <f t="shared" ref="F98:F104" si="28">SUM(C98:E98)</f>
        <v>0</v>
      </c>
      <c r="G98" s="179">
        <v>37500</v>
      </c>
      <c r="H98" s="179">
        <v>30769.23076923077</v>
      </c>
      <c r="I98" s="179">
        <v>37500</v>
      </c>
      <c r="J98" s="173">
        <f t="shared" si="16"/>
        <v>105769.23076923077</v>
      </c>
      <c r="K98" s="45">
        <v>37500</v>
      </c>
      <c r="L98" s="45">
        <v>30769.23076923077</v>
      </c>
      <c r="M98" s="45">
        <v>37500</v>
      </c>
      <c r="N98" s="41">
        <f t="shared" ref="N98:N99" si="29">SUM(K98:M98)</f>
        <v>105769.23076923077</v>
      </c>
      <c r="O98" s="41">
        <f t="shared" si="17"/>
        <v>211538.46153846153</v>
      </c>
      <c r="P98" s="80"/>
    </row>
    <row r="99" spans="2:16" ht="39.9" customHeight="1" x14ac:dyDescent="0.35">
      <c r="B99" s="10" t="s">
        <v>17</v>
      </c>
      <c r="C99" s="36">
        <v>10000</v>
      </c>
      <c r="D99" s="36">
        <f>20000+933</f>
        <v>20933</v>
      </c>
      <c r="E99" s="36">
        <v>283000</v>
      </c>
      <c r="F99" s="37">
        <f t="shared" si="28"/>
        <v>313933</v>
      </c>
      <c r="G99" s="179">
        <v>25000</v>
      </c>
      <c r="H99" s="179">
        <v>15384.615384615385</v>
      </c>
      <c r="I99" s="179">
        <v>18750</v>
      </c>
      <c r="J99" s="173">
        <f t="shared" si="16"/>
        <v>59134.615384615383</v>
      </c>
      <c r="K99" s="45">
        <v>25000</v>
      </c>
      <c r="L99" s="45">
        <v>15384.615384615385</v>
      </c>
      <c r="M99" s="45">
        <v>18750</v>
      </c>
      <c r="N99" s="41">
        <f t="shared" si="29"/>
        <v>59134.615384615383</v>
      </c>
      <c r="O99" s="41">
        <f t="shared" si="17"/>
        <v>432202.23076923075</v>
      </c>
      <c r="P99" s="80"/>
    </row>
    <row r="100" spans="2:16" ht="20.399999999999999" customHeight="1" x14ac:dyDescent="0.35">
      <c r="B100" s="138" t="s">
        <v>112</v>
      </c>
      <c r="C100" s="139"/>
      <c r="D100" s="139"/>
      <c r="E100" s="139"/>
      <c r="F100" s="139"/>
      <c r="G100" s="139"/>
      <c r="H100" s="139"/>
      <c r="I100" s="139"/>
      <c r="J100" s="139"/>
      <c r="K100" s="139"/>
      <c r="L100" s="139"/>
      <c r="M100" s="139"/>
      <c r="N100" s="139"/>
      <c r="O100" s="140"/>
      <c r="P100" s="80"/>
    </row>
    <row r="101" spans="2:16" ht="23.4" customHeight="1" x14ac:dyDescent="0.35">
      <c r="B101" s="10" t="s">
        <v>18</v>
      </c>
      <c r="C101" s="36">
        <v>20850</v>
      </c>
      <c r="D101" s="36">
        <v>3704</v>
      </c>
      <c r="E101" s="36"/>
      <c r="F101" s="37">
        <f t="shared" si="28"/>
        <v>24554</v>
      </c>
      <c r="G101" s="179">
        <v>12500</v>
      </c>
      <c r="H101" s="179">
        <v>10256.410256410256</v>
      </c>
      <c r="I101" s="179">
        <v>12500</v>
      </c>
      <c r="J101" s="173">
        <f t="shared" si="16"/>
        <v>35256.410256410258</v>
      </c>
      <c r="K101" s="45">
        <v>12500</v>
      </c>
      <c r="L101" s="45">
        <v>10256.410256410256</v>
      </c>
      <c r="M101" s="45">
        <v>12500</v>
      </c>
      <c r="N101" s="41">
        <f>SUM(K101:M101)</f>
        <v>35256.410256410258</v>
      </c>
      <c r="O101" s="41">
        <f t="shared" si="17"/>
        <v>95066.820512820515</v>
      </c>
      <c r="P101" s="80"/>
    </row>
    <row r="102" spans="2:16" ht="27.9" customHeight="1" x14ac:dyDescent="0.35">
      <c r="B102" s="10" t="s">
        <v>19</v>
      </c>
      <c r="C102" s="36">
        <f>17100+14700</f>
        <v>31800</v>
      </c>
      <c r="D102" s="36">
        <f>16666+17408+24000+170000+50000</f>
        <v>278074</v>
      </c>
      <c r="E102" s="36">
        <f>60000</f>
        <v>60000</v>
      </c>
      <c r="F102" s="37">
        <f t="shared" si="28"/>
        <v>369874</v>
      </c>
      <c r="G102" s="179">
        <v>25000</v>
      </c>
      <c r="H102" s="179">
        <v>20512.820512820512</v>
      </c>
      <c r="I102" s="179">
        <v>25000</v>
      </c>
      <c r="J102" s="173">
        <f t="shared" si="16"/>
        <v>70512.820512820515</v>
      </c>
      <c r="K102" s="45">
        <v>25000</v>
      </c>
      <c r="L102" s="45">
        <v>20512.820512820512</v>
      </c>
      <c r="M102" s="45">
        <v>25000</v>
      </c>
      <c r="N102" s="41">
        <f t="shared" ref="N102:N103" si="30">SUM(K102:M102)</f>
        <v>70512.820512820515</v>
      </c>
      <c r="O102" s="41">
        <f t="shared" si="17"/>
        <v>510899.641025641</v>
      </c>
      <c r="P102" s="80"/>
    </row>
    <row r="103" spans="2:16" ht="26.1" customHeight="1" x14ac:dyDescent="0.35">
      <c r="B103" s="10" t="s">
        <v>20</v>
      </c>
      <c r="C103" s="36">
        <v>159590</v>
      </c>
      <c r="D103" s="36">
        <f>149386+3704+340762.56+301476+13360</f>
        <v>808688.56</v>
      </c>
      <c r="E103" s="36">
        <f>86625+503300</f>
        <v>589925</v>
      </c>
      <c r="F103" s="37">
        <f t="shared" si="28"/>
        <v>1558203.56</v>
      </c>
      <c r="G103" s="179">
        <v>74550</v>
      </c>
      <c r="H103" s="179">
        <v>2660861.5384615385</v>
      </c>
      <c r="I103" s="179">
        <v>4413350</v>
      </c>
      <c r="J103" s="173">
        <f t="shared" ref="J103:J126" si="31">SUM(G103:I103)</f>
        <v>7148761.538461538</v>
      </c>
      <c r="K103" s="45">
        <v>74550</v>
      </c>
      <c r="L103" s="45">
        <v>2660861.5384615385</v>
      </c>
      <c r="M103" s="45">
        <v>4413350</v>
      </c>
      <c r="N103" s="41">
        <f t="shared" si="30"/>
        <v>7148761.538461538</v>
      </c>
      <c r="O103" s="41">
        <f t="shared" si="17"/>
        <v>15855726.636923077</v>
      </c>
      <c r="P103" s="80"/>
    </row>
    <row r="104" spans="2:16" ht="24" x14ac:dyDescent="0.35">
      <c r="B104" s="10" t="s">
        <v>21</v>
      </c>
      <c r="C104" s="36">
        <v>92500</v>
      </c>
      <c r="D104" s="36">
        <v>0</v>
      </c>
      <c r="E104" s="36">
        <v>360900</v>
      </c>
      <c r="F104" s="37">
        <f t="shared" si="28"/>
        <v>453400</v>
      </c>
      <c r="G104" s="179">
        <v>0</v>
      </c>
      <c r="H104" s="179">
        <v>0</v>
      </c>
      <c r="I104" s="179">
        <v>0</v>
      </c>
      <c r="J104" s="173">
        <v>0</v>
      </c>
      <c r="K104" s="45">
        <v>0</v>
      </c>
      <c r="L104" s="45">
        <v>0</v>
      </c>
      <c r="M104" s="45">
        <v>0</v>
      </c>
      <c r="N104" s="41">
        <v>0</v>
      </c>
      <c r="O104" s="41">
        <f t="shared" si="17"/>
        <v>453400</v>
      </c>
      <c r="P104" s="80"/>
    </row>
    <row r="105" spans="2:16" ht="24.6" customHeight="1" x14ac:dyDescent="0.35">
      <c r="B105" s="30" t="s">
        <v>98</v>
      </c>
      <c r="C105" s="30">
        <f t="shared" ref="C105:O105" si="32">SUM(C97:C104)</f>
        <v>314740</v>
      </c>
      <c r="D105" s="30">
        <f t="shared" si="32"/>
        <v>1116399.56</v>
      </c>
      <c r="E105" s="30">
        <f t="shared" si="32"/>
        <v>1493825</v>
      </c>
      <c r="F105" s="30">
        <f t="shared" si="32"/>
        <v>2924964.56</v>
      </c>
      <c r="G105" s="184">
        <f t="shared" si="32"/>
        <v>239550</v>
      </c>
      <c r="H105" s="184">
        <f t="shared" si="32"/>
        <v>2881374.358974359</v>
      </c>
      <c r="I105" s="184">
        <f t="shared" si="32"/>
        <v>4682100</v>
      </c>
      <c r="J105" s="184">
        <f t="shared" si="32"/>
        <v>7803024.3589743581</v>
      </c>
      <c r="K105" s="30">
        <f t="shared" si="32"/>
        <v>239550</v>
      </c>
      <c r="L105" s="30">
        <f t="shared" si="32"/>
        <v>2881374.358974359</v>
      </c>
      <c r="M105" s="30">
        <f t="shared" si="32"/>
        <v>4682100</v>
      </c>
      <c r="N105" s="30">
        <f t="shared" si="32"/>
        <v>7803024.3589743581</v>
      </c>
      <c r="O105" s="30">
        <f t="shared" si="32"/>
        <v>18531013.277948719</v>
      </c>
      <c r="P105" s="80"/>
    </row>
    <row r="106" spans="2:16" ht="18.600000000000001" customHeight="1" x14ac:dyDescent="0.35">
      <c r="B106" s="141" t="s">
        <v>109</v>
      </c>
      <c r="C106" s="153"/>
      <c r="D106" s="153"/>
      <c r="E106" s="153"/>
      <c r="F106" s="153"/>
      <c r="G106" s="153"/>
      <c r="H106" s="153"/>
      <c r="I106" s="153"/>
      <c r="J106" s="153"/>
      <c r="K106" s="153"/>
      <c r="L106" s="153"/>
      <c r="M106" s="153"/>
      <c r="N106" s="153"/>
      <c r="O106" s="154"/>
      <c r="P106" s="80"/>
    </row>
    <row r="107" spans="2:16" ht="18.600000000000001" customHeight="1" x14ac:dyDescent="0.35">
      <c r="B107" s="138" t="s">
        <v>5</v>
      </c>
      <c r="C107" s="139"/>
      <c r="D107" s="139"/>
      <c r="E107" s="139"/>
      <c r="F107" s="139"/>
      <c r="G107" s="139"/>
      <c r="H107" s="139"/>
      <c r="I107" s="139"/>
      <c r="J107" s="139"/>
      <c r="K107" s="139"/>
      <c r="L107" s="139"/>
      <c r="M107" s="139"/>
      <c r="N107" s="139"/>
      <c r="O107" s="140"/>
      <c r="P107" s="80"/>
    </row>
    <row r="108" spans="2:16" ht="27.6" customHeight="1" x14ac:dyDescent="0.35">
      <c r="B108" s="10" t="s">
        <v>22</v>
      </c>
      <c r="C108" s="8">
        <v>121040</v>
      </c>
      <c r="D108" s="36">
        <f>60000+5000</f>
        <v>65000</v>
      </c>
      <c r="E108" s="36">
        <v>0</v>
      </c>
      <c r="F108" s="37">
        <f t="shared" ref="F108:F111" si="33">SUM(C108:E108)</f>
        <v>186040</v>
      </c>
      <c r="G108" s="179">
        <v>7500</v>
      </c>
      <c r="H108" s="179">
        <v>5128.2051282051279</v>
      </c>
      <c r="I108" s="179">
        <v>6250</v>
      </c>
      <c r="J108" s="173">
        <f t="shared" si="31"/>
        <v>18878.205128205129</v>
      </c>
      <c r="K108" s="45">
        <v>7500</v>
      </c>
      <c r="L108" s="45">
        <v>5128.2051282051279</v>
      </c>
      <c r="M108" s="45">
        <v>6250</v>
      </c>
      <c r="N108" s="41">
        <f>SUM(K108:M108)</f>
        <v>18878.205128205129</v>
      </c>
      <c r="O108" s="41">
        <f t="shared" si="17"/>
        <v>223796.41025641025</v>
      </c>
      <c r="P108" s="80"/>
    </row>
    <row r="109" spans="2:16" ht="17.399999999999999" customHeight="1" x14ac:dyDescent="0.35">
      <c r="B109" s="138" t="s">
        <v>113</v>
      </c>
      <c r="C109" s="139"/>
      <c r="D109" s="139"/>
      <c r="E109" s="139"/>
      <c r="F109" s="139"/>
      <c r="G109" s="139"/>
      <c r="H109" s="139"/>
      <c r="I109" s="139"/>
      <c r="J109" s="139"/>
      <c r="K109" s="139"/>
      <c r="L109" s="139"/>
      <c r="M109" s="139"/>
      <c r="N109" s="139"/>
      <c r="O109" s="140"/>
      <c r="P109" s="80"/>
    </row>
    <row r="110" spans="2:16" ht="24" x14ac:dyDescent="0.35">
      <c r="B110" s="10" t="s">
        <v>23</v>
      </c>
      <c r="C110" s="36">
        <v>60000</v>
      </c>
      <c r="D110" s="36">
        <v>111111</v>
      </c>
      <c r="E110" s="36">
        <v>0</v>
      </c>
      <c r="F110" s="37">
        <f t="shared" si="33"/>
        <v>171111</v>
      </c>
      <c r="G110" s="179">
        <v>25000</v>
      </c>
      <c r="H110" s="179">
        <v>25641.025641025641</v>
      </c>
      <c r="I110" s="179">
        <v>31250</v>
      </c>
      <c r="J110" s="173">
        <f t="shared" si="31"/>
        <v>81891.025641025641</v>
      </c>
      <c r="K110" s="45">
        <v>25000</v>
      </c>
      <c r="L110" s="45">
        <v>25641.025641025641</v>
      </c>
      <c r="M110" s="45">
        <v>31250</v>
      </c>
      <c r="N110" s="41">
        <f t="shared" ref="N110:N111" si="34">SUM(K110:M110)</f>
        <v>81891.025641025641</v>
      </c>
      <c r="O110" s="41">
        <f t="shared" si="17"/>
        <v>334893.05128205125</v>
      </c>
      <c r="P110" s="80"/>
    </row>
    <row r="111" spans="2:16" ht="32.4" customHeight="1" x14ac:dyDescent="0.35">
      <c r="B111" s="10" t="s">
        <v>24</v>
      </c>
      <c r="C111" s="36">
        <f>22500+37500</f>
        <v>60000</v>
      </c>
      <c r="D111" s="36">
        <v>0</v>
      </c>
      <c r="E111" s="36">
        <v>212000</v>
      </c>
      <c r="F111" s="37">
        <f t="shared" si="33"/>
        <v>272000</v>
      </c>
      <c r="G111" s="179">
        <v>125000</v>
      </c>
      <c r="H111" s="179">
        <v>128205.1282051282</v>
      </c>
      <c r="I111" s="179">
        <v>187500</v>
      </c>
      <c r="J111" s="173">
        <f t="shared" si="31"/>
        <v>440705.12820512819</v>
      </c>
      <c r="K111" s="45">
        <v>125000</v>
      </c>
      <c r="L111" s="45">
        <v>128205.1282051282</v>
      </c>
      <c r="M111" s="45">
        <v>187500</v>
      </c>
      <c r="N111" s="41">
        <f t="shared" si="34"/>
        <v>440705.12820512819</v>
      </c>
      <c r="O111" s="41">
        <f t="shared" si="17"/>
        <v>1153410.2564102565</v>
      </c>
      <c r="P111" s="80"/>
    </row>
    <row r="112" spans="2:16" s="19" customFormat="1" ht="18" customHeight="1" x14ac:dyDescent="0.35">
      <c r="B112" s="32" t="s">
        <v>98</v>
      </c>
      <c r="C112" s="32">
        <f t="shared" ref="C112" si="35">SUM(C108:C111)</f>
        <v>241040</v>
      </c>
      <c r="D112" s="32">
        <f t="shared" ref="D112" si="36">SUM(D108:D111)</f>
        <v>176111</v>
      </c>
      <c r="E112" s="32">
        <f t="shared" ref="E112" si="37">SUM(E108:E111)</f>
        <v>212000</v>
      </c>
      <c r="F112" s="32">
        <f t="shared" ref="F112" si="38">SUM(F108:F111)</f>
        <v>629151</v>
      </c>
      <c r="G112" s="181">
        <f t="shared" ref="G112" si="39">SUM(G108:G111)</f>
        <v>157500</v>
      </c>
      <c r="H112" s="181">
        <f t="shared" ref="H112" si="40">SUM(H108:H111)</f>
        <v>158974.35897435897</v>
      </c>
      <c r="I112" s="181">
        <f t="shared" ref="I112" si="41">SUM(I108:I111)</f>
        <v>225000</v>
      </c>
      <c r="J112" s="181">
        <f t="shared" ref="J112" si="42">SUM(J108:J111)</f>
        <v>541474.358974359</v>
      </c>
      <c r="K112" s="32">
        <f t="shared" ref="K112" si="43">SUM(K108:K111)</f>
        <v>157500</v>
      </c>
      <c r="L112" s="32">
        <f t="shared" ref="L112" si="44">SUM(L108:L111)</f>
        <v>158974.35897435897</v>
      </c>
      <c r="M112" s="32">
        <f t="shared" ref="M112" si="45">SUM(M108:M111)</f>
        <v>225000</v>
      </c>
      <c r="N112" s="32">
        <f t="shared" ref="N112" si="46">SUM(N108:N111)</f>
        <v>541474.358974359</v>
      </c>
      <c r="O112" s="32">
        <f t="shared" ref="O112" si="47">SUM(O108:O111)</f>
        <v>1712099.717948718</v>
      </c>
      <c r="P112" s="80"/>
    </row>
    <row r="113" spans="2:16" ht="20.100000000000001" customHeight="1" x14ac:dyDescent="0.35">
      <c r="B113" s="141" t="s">
        <v>110</v>
      </c>
      <c r="C113" s="142"/>
      <c r="D113" s="142"/>
      <c r="E113" s="142"/>
      <c r="F113" s="142"/>
      <c r="G113" s="142"/>
      <c r="H113" s="142"/>
      <c r="I113" s="142"/>
      <c r="J113" s="142"/>
      <c r="K113" s="142"/>
      <c r="L113" s="142"/>
      <c r="M113" s="142"/>
      <c r="N113" s="142"/>
      <c r="O113" s="143"/>
      <c r="P113" s="80"/>
    </row>
    <row r="114" spans="2:16" ht="17.399999999999999" customHeight="1" x14ac:dyDescent="0.35">
      <c r="B114" s="138" t="s">
        <v>5</v>
      </c>
      <c r="C114" s="139"/>
      <c r="D114" s="139"/>
      <c r="E114" s="139"/>
      <c r="F114" s="139"/>
      <c r="G114" s="139"/>
      <c r="H114" s="139"/>
      <c r="I114" s="139"/>
      <c r="J114" s="139"/>
      <c r="K114" s="139"/>
      <c r="L114" s="139"/>
      <c r="M114" s="139"/>
      <c r="N114" s="139"/>
      <c r="O114" s="140"/>
      <c r="P114" s="80"/>
    </row>
    <row r="115" spans="2:16" ht="18.600000000000001" customHeight="1" x14ac:dyDescent="0.35">
      <c r="B115" s="36" t="s">
        <v>25</v>
      </c>
      <c r="C115" s="36">
        <v>0</v>
      </c>
      <c r="D115" s="36">
        <v>0</v>
      </c>
      <c r="E115" s="36">
        <v>0</v>
      </c>
      <c r="F115" s="37">
        <f>SUM(C691)</f>
        <v>0</v>
      </c>
      <c r="G115" s="179">
        <v>7500</v>
      </c>
      <c r="H115" s="179">
        <v>6153.8461538461534</v>
      </c>
      <c r="I115" s="179">
        <v>7500</v>
      </c>
      <c r="J115" s="173">
        <f t="shared" si="31"/>
        <v>21153.846153846152</v>
      </c>
      <c r="K115" s="45">
        <v>7500</v>
      </c>
      <c r="L115" s="45">
        <v>6153.8461538461534</v>
      </c>
      <c r="M115" s="45">
        <v>7500</v>
      </c>
      <c r="N115" s="41">
        <f>SUM(K115:M115)</f>
        <v>21153.846153846152</v>
      </c>
      <c r="O115" s="41">
        <f t="shared" si="17"/>
        <v>42307.692307692305</v>
      </c>
      <c r="P115" s="80"/>
    </row>
    <row r="116" spans="2:16" ht="19.350000000000001" customHeight="1" x14ac:dyDescent="0.35">
      <c r="B116" s="138" t="s">
        <v>112</v>
      </c>
      <c r="C116" s="139"/>
      <c r="D116" s="139"/>
      <c r="E116" s="139"/>
      <c r="F116" s="139"/>
      <c r="G116" s="139"/>
      <c r="H116" s="139"/>
      <c r="I116" s="139"/>
      <c r="J116" s="139"/>
      <c r="K116" s="139"/>
      <c r="L116" s="139"/>
      <c r="M116" s="139"/>
      <c r="N116" s="139"/>
      <c r="O116" s="140"/>
      <c r="P116" s="80"/>
    </row>
    <row r="117" spans="2:16" ht="18" x14ac:dyDescent="0.35">
      <c r="B117" s="36" t="s">
        <v>26</v>
      </c>
      <c r="C117" s="36">
        <v>0</v>
      </c>
      <c r="D117" s="36">
        <v>0</v>
      </c>
      <c r="E117" s="36"/>
      <c r="F117" s="37">
        <f>SUM(C693)</f>
        <v>0</v>
      </c>
      <c r="G117" s="179">
        <v>25000</v>
      </c>
      <c r="H117" s="179">
        <v>25641.025641025641</v>
      </c>
      <c r="I117" s="179">
        <v>37500</v>
      </c>
      <c r="J117" s="173">
        <f t="shared" si="31"/>
        <v>88141.025641025641</v>
      </c>
      <c r="K117" s="45">
        <v>25000</v>
      </c>
      <c r="L117" s="45">
        <v>25641.025641025641</v>
      </c>
      <c r="M117" s="45">
        <v>37500</v>
      </c>
      <c r="N117" s="41">
        <f>SUM(K117:M117)</f>
        <v>88141.025641025641</v>
      </c>
      <c r="O117" s="41">
        <f t="shared" si="17"/>
        <v>176282.05128205128</v>
      </c>
      <c r="P117" s="80"/>
    </row>
    <row r="118" spans="2:16" ht="27.6" x14ac:dyDescent="0.35">
      <c r="B118" s="36" t="s">
        <v>27</v>
      </c>
      <c r="C118" s="36">
        <v>0</v>
      </c>
      <c r="D118" s="36">
        <v>0</v>
      </c>
      <c r="E118" s="36">
        <v>0</v>
      </c>
      <c r="F118" s="37">
        <f>SUM(C694)</f>
        <v>0</v>
      </c>
      <c r="G118" s="179">
        <v>25000</v>
      </c>
      <c r="H118" s="179">
        <v>25641.025641025641</v>
      </c>
      <c r="I118" s="179">
        <v>37500</v>
      </c>
      <c r="J118" s="173">
        <f t="shared" si="31"/>
        <v>88141.025641025641</v>
      </c>
      <c r="K118" s="45">
        <v>25000</v>
      </c>
      <c r="L118" s="45">
        <v>25641.025641025641</v>
      </c>
      <c r="M118" s="45">
        <v>37500</v>
      </c>
      <c r="N118" s="41">
        <f t="shared" ref="N118:N119" si="48">SUM(K118:M118)</f>
        <v>88141.025641025641</v>
      </c>
      <c r="O118" s="41">
        <f t="shared" si="17"/>
        <v>176282.05128205128</v>
      </c>
      <c r="P118" s="80"/>
    </row>
    <row r="119" spans="2:16" ht="27" customHeight="1" x14ac:dyDescent="0.35">
      <c r="B119" s="36" t="s">
        <v>28</v>
      </c>
      <c r="C119" s="36"/>
      <c r="D119" s="36">
        <v>0</v>
      </c>
      <c r="E119" s="36">
        <v>0</v>
      </c>
      <c r="F119" s="37">
        <f>SUM(C695)</f>
        <v>0</v>
      </c>
      <c r="G119" s="179">
        <v>379175</v>
      </c>
      <c r="H119" s="179">
        <v>405999.99999999994</v>
      </c>
      <c r="I119" s="179">
        <v>673399.875</v>
      </c>
      <c r="J119" s="173">
        <f t="shared" si="31"/>
        <v>1458574.875</v>
      </c>
      <c r="K119" s="45">
        <v>379175</v>
      </c>
      <c r="L119" s="45">
        <v>405999.99999999994</v>
      </c>
      <c r="M119" s="45">
        <v>673399.875</v>
      </c>
      <c r="N119" s="41">
        <f t="shared" si="48"/>
        <v>1458574.875</v>
      </c>
      <c r="O119" s="41">
        <f t="shared" ref="O119:O151" si="49">F119+J119+N119</f>
        <v>2917149.75</v>
      </c>
      <c r="P119" s="80"/>
    </row>
    <row r="120" spans="2:16" s="19" customFormat="1" ht="19.350000000000001" customHeight="1" x14ac:dyDescent="0.35">
      <c r="B120" s="30" t="s">
        <v>98</v>
      </c>
      <c r="C120" s="30">
        <f t="shared" ref="C120:F120" si="50">SUM(C115:C119)</f>
        <v>0</v>
      </c>
      <c r="D120" s="30">
        <f t="shared" si="50"/>
        <v>0</v>
      </c>
      <c r="E120" s="30">
        <f t="shared" si="50"/>
        <v>0</v>
      </c>
      <c r="F120" s="30">
        <f t="shared" si="50"/>
        <v>0</v>
      </c>
      <c r="G120" s="184">
        <f>SUM(G115:G119)</f>
        <v>436675</v>
      </c>
      <c r="H120" s="184">
        <f t="shared" ref="H120:I120" si="51">SUM(H115:H119)</f>
        <v>463435.89743589738</v>
      </c>
      <c r="I120" s="184">
        <f t="shared" si="51"/>
        <v>755899.875</v>
      </c>
      <c r="J120" s="176">
        <f t="shared" si="31"/>
        <v>1656010.7724358975</v>
      </c>
      <c r="K120" s="30">
        <f t="shared" ref="K120:M120" si="52">SUM(K115:K119)</f>
        <v>436675</v>
      </c>
      <c r="L120" s="30">
        <f t="shared" si="52"/>
        <v>463435.89743589738</v>
      </c>
      <c r="M120" s="30">
        <f t="shared" si="52"/>
        <v>755899.875</v>
      </c>
      <c r="N120" s="30">
        <f>SUM(N115:N119)</f>
        <v>1656010.7724358975</v>
      </c>
      <c r="O120" s="30">
        <f>O119+O118+O117+O115</f>
        <v>3312021.5448717955</v>
      </c>
      <c r="P120" s="80"/>
    </row>
    <row r="121" spans="2:16" s="19" customFormat="1" ht="24.6" customHeight="1" thickBot="1" x14ac:dyDescent="0.4">
      <c r="B121" s="61" t="s">
        <v>92</v>
      </c>
      <c r="C121" s="61">
        <f t="shared" ref="C121:O121" si="53">C120+C112+C105</f>
        <v>555780</v>
      </c>
      <c r="D121" s="61">
        <f t="shared" si="53"/>
        <v>1292510.56</v>
      </c>
      <c r="E121" s="61">
        <f t="shared" si="53"/>
        <v>1705825</v>
      </c>
      <c r="F121" s="61">
        <f t="shared" si="53"/>
        <v>3554115.56</v>
      </c>
      <c r="G121" s="182">
        <f t="shared" si="53"/>
        <v>833725</v>
      </c>
      <c r="H121" s="182">
        <f t="shared" si="53"/>
        <v>3503784.6153846155</v>
      </c>
      <c r="I121" s="182">
        <f t="shared" si="53"/>
        <v>5662999.875</v>
      </c>
      <c r="J121" s="182">
        <f t="shared" si="53"/>
        <v>10000509.490384614</v>
      </c>
      <c r="K121" s="61">
        <f t="shared" si="53"/>
        <v>833725</v>
      </c>
      <c r="L121" s="61">
        <f t="shared" si="53"/>
        <v>3503784.6153846155</v>
      </c>
      <c r="M121" s="61">
        <f t="shared" si="53"/>
        <v>5662999.875</v>
      </c>
      <c r="N121" s="61">
        <f t="shared" si="53"/>
        <v>10000509.490384614</v>
      </c>
      <c r="O121" s="61">
        <f t="shared" si="53"/>
        <v>23555134.540769234</v>
      </c>
      <c r="P121" s="80"/>
    </row>
    <row r="122" spans="2:16" ht="33" customHeight="1" thickTop="1" thickBot="1" x14ac:dyDescent="0.4">
      <c r="B122" s="128" t="s">
        <v>111</v>
      </c>
      <c r="C122" s="129"/>
      <c r="D122" s="129"/>
      <c r="E122" s="129"/>
      <c r="F122" s="129"/>
      <c r="G122" s="129"/>
      <c r="H122" s="129"/>
      <c r="I122" s="129"/>
      <c r="J122" s="129"/>
      <c r="K122" s="129"/>
      <c r="L122" s="129"/>
      <c r="M122" s="129"/>
      <c r="N122" s="129"/>
      <c r="O122" s="130"/>
      <c r="P122" s="80"/>
    </row>
    <row r="123" spans="2:16" ht="18.600000000000001" thickTop="1" x14ac:dyDescent="0.35">
      <c r="B123" s="66" t="s">
        <v>62</v>
      </c>
      <c r="C123" s="66">
        <v>0</v>
      </c>
      <c r="D123" s="66">
        <v>0</v>
      </c>
      <c r="E123" s="66">
        <v>0</v>
      </c>
      <c r="F123" s="67">
        <f>SUM(C123:E123)</f>
        <v>0</v>
      </c>
      <c r="G123" s="186">
        <v>1091483.125</v>
      </c>
      <c r="H123" s="186">
        <v>3657712.7734999997</v>
      </c>
      <c r="I123" s="186">
        <v>8316945</v>
      </c>
      <c r="J123" s="187">
        <f t="shared" si="31"/>
        <v>13066140.898499999</v>
      </c>
      <c r="K123" s="68">
        <v>1091483.125</v>
      </c>
      <c r="L123" s="68">
        <v>3657712.7734999997</v>
      </c>
      <c r="M123" s="69">
        <v>8316945</v>
      </c>
      <c r="N123" s="70">
        <f>SUM(K123:M123)</f>
        <v>13066140.898499999</v>
      </c>
      <c r="O123" s="71">
        <f t="shared" si="49"/>
        <v>26132281.796999998</v>
      </c>
      <c r="P123" s="80"/>
    </row>
    <row r="124" spans="2:16" ht="18" x14ac:dyDescent="0.35">
      <c r="B124" s="36" t="s">
        <v>63</v>
      </c>
      <c r="C124" s="36">
        <v>0</v>
      </c>
      <c r="D124" s="36">
        <v>0</v>
      </c>
      <c r="E124" s="36">
        <v>0</v>
      </c>
      <c r="F124" s="37">
        <f t="shared" ref="F124:F126" si="54">SUM(C124:E124)</f>
        <v>0</v>
      </c>
      <c r="G124" s="179">
        <v>0</v>
      </c>
      <c r="H124" s="179">
        <v>587892.99699999997</v>
      </c>
      <c r="I124" s="179">
        <v>875481.75</v>
      </c>
      <c r="J124" s="173">
        <f t="shared" si="31"/>
        <v>1463374.747</v>
      </c>
      <c r="K124" s="45">
        <v>0</v>
      </c>
      <c r="L124" s="45">
        <v>587892.99699999997</v>
      </c>
      <c r="M124" s="51">
        <v>875481.75</v>
      </c>
      <c r="N124" s="52">
        <f t="shared" ref="N124:N126" si="55">SUM(K124:M124)</f>
        <v>1463374.747</v>
      </c>
      <c r="O124" s="41">
        <f t="shared" si="49"/>
        <v>2926749.4939999999</v>
      </c>
      <c r="P124" s="80"/>
    </row>
    <row r="125" spans="2:16" ht="18" x14ac:dyDescent="0.35">
      <c r="B125" s="36" t="s">
        <v>64</v>
      </c>
      <c r="C125" s="36">
        <f>24530+15000+35000+50000+69500</f>
        <v>194030</v>
      </c>
      <c r="D125" s="36">
        <f>42733+60000+18500+80000+75000</f>
        <v>276233</v>
      </c>
      <c r="E125" s="36">
        <f>200000+100000+171000</f>
        <v>471000</v>
      </c>
      <c r="F125" s="37">
        <f t="shared" si="54"/>
        <v>941263</v>
      </c>
      <c r="G125" s="179">
        <v>16822</v>
      </c>
      <c r="H125" s="179">
        <v>561210.02299999993</v>
      </c>
      <c r="I125" s="179">
        <v>3787155</v>
      </c>
      <c r="J125" s="173">
        <f t="shared" si="31"/>
        <v>4365187.023</v>
      </c>
      <c r="K125" s="45">
        <v>16822</v>
      </c>
      <c r="L125" s="45">
        <v>561210.02299999993</v>
      </c>
      <c r="M125" s="51">
        <v>3787155</v>
      </c>
      <c r="N125" s="52">
        <f t="shared" si="55"/>
        <v>4365187.023</v>
      </c>
      <c r="O125" s="41">
        <f t="shared" si="49"/>
        <v>9671637.0460000001</v>
      </c>
      <c r="P125" s="80"/>
    </row>
    <row r="126" spans="2:16" ht="18" x14ac:dyDescent="0.35">
      <c r="B126" s="36" t="s">
        <v>133</v>
      </c>
      <c r="C126" s="36"/>
      <c r="D126" s="36"/>
      <c r="E126" s="36"/>
      <c r="F126" s="37">
        <f t="shared" si="54"/>
        <v>0</v>
      </c>
      <c r="G126" s="179">
        <v>23647.75</v>
      </c>
      <c r="H126" s="179">
        <v>132958.68299999999</v>
      </c>
      <c r="I126" s="179">
        <v>432000</v>
      </c>
      <c r="J126" s="173">
        <f t="shared" si="31"/>
        <v>588606.43299999996</v>
      </c>
      <c r="K126" s="45">
        <v>23647.75</v>
      </c>
      <c r="L126" s="45">
        <v>132958.68299999999</v>
      </c>
      <c r="M126" s="51">
        <v>432000</v>
      </c>
      <c r="N126" s="52">
        <f t="shared" si="55"/>
        <v>588606.43299999996</v>
      </c>
      <c r="O126" s="41">
        <f t="shared" si="49"/>
        <v>1177212.8659999999</v>
      </c>
      <c r="P126" s="80"/>
    </row>
    <row r="127" spans="2:16" s="19" customFormat="1" ht="19.649999999999999" customHeight="1" x14ac:dyDescent="0.35">
      <c r="B127" s="30" t="s">
        <v>98</v>
      </c>
      <c r="C127" s="30">
        <f>SUM(C123:C126)</f>
        <v>194030</v>
      </c>
      <c r="D127" s="30">
        <f t="shared" ref="D127:O127" si="56">SUM(D123:D126)</f>
        <v>276233</v>
      </c>
      <c r="E127" s="30">
        <f t="shared" si="56"/>
        <v>471000</v>
      </c>
      <c r="F127" s="30">
        <f t="shared" si="56"/>
        <v>941263</v>
      </c>
      <c r="G127" s="184">
        <f t="shared" si="56"/>
        <v>1131952.875</v>
      </c>
      <c r="H127" s="184">
        <f t="shared" si="56"/>
        <v>4939774.4764999999</v>
      </c>
      <c r="I127" s="184">
        <f t="shared" si="56"/>
        <v>13411581.75</v>
      </c>
      <c r="J127" s="184">
        <f t="shared" si="56"/>
        <v>19483309.101499997</v>
      </c>
      <c r="K127" s="30">
        <f t="shared" si="56"/>
        <v>1131952.875</v>
      </c>
      <c r="L127" s="30">
        <f t="shared" si="56"/>
        <v>4939774.4764999999</v>
      </c>
      <c r="M127" s="30">
        <f t="shared" si="56"/>
        <v>13411581.75</v>
      </c>
      <c r="N127" s="30">
        <f t="shared" si="56"/>
        <v>19483309.101499997</v>
      </c>
      <c r="O127" s="30">
        <f t="shared" si="56"/>
        <v>39907881.202999994</v>
      </c>
      <c r="P127" s="80"/>
    </row>
    <row r="128" spans="2:16" s="19" customFormat="1" ht="22.5" customHeight="1" thickBot="1" x14ac:dyDescent="0.4">
      <c r="B128" s="61" t="s">
        <v>93</v>
      </c>
      <c r="C128" s="61">
        <f>C127</f>
        <v>194030</v>
      </c>
      <c r="D128" s="61">
        <f t="shared" ref="D128:O128" si="57">D127</f>
        <v>276233</v>
      </c>
      <c r="E128" s="61">
        <f t="shared" si="57"/>
        <v>471000</v>
      </c>
      <c r="F128" s="61">
        <f t="shared" si="57"/>
        <v>941263</v>
      </c>
      <c r="G128" s="182">
        <f t="shared" si="57"/>
        <v>1131952.875</v>
      </c>
      <c r="H128" s="182">
        <f t="shared" si="57"/>
        <v>4939774.4764999999</v>
      </c>
      <c r="I128" s="182">
        <f t="shared" si="57"/>
        <v>13411581.75</v>
      </c>
      <c r="J128" s="182">
        <f t="shared" si="57"/>
        <v>19483309.101499997</v>
      </c>
      <c r="K128" s="61">
        <f t="shared" si="57"/>
        <v>1131952.875</v>
      </c>
      <c r="L128" s="61">
        <f t="shared" si="57"/>
        <v>4939774.4764999999</v>
      </c>
      <c r="M128" s="61">
        <f t="shared" si="57"/>
        <v>13411581.75</v>
      </c>
      <c r="N128" s="61">
        <f t="shared" si="57"/>
        <v>19483309.101499997</v>
      </c>
      <c r="O128" s="61">
        <f t="shared" si="57"/>
        <v>39907881.202999994</v>
      </c>
      <c r="P128" s="80"/>
    </row>
    <row r="129" spans="2:16" s="15" customFormat="1" ht="30" customHeight="1" thickTop="1" thickBot="1" x14ac:dyDescent="0.4">
      <c r="B129" s="128" t="s">
        <v>65</v>
      </c>
      <c r="C129" s="129"/>
      <c r="D129" s="129"/>
      <c r="E129" s="129"/>
      <c r="F129" s="129"/>
      <c r="G129" s="129"/>
      <c r="H129" s="129"/>
      <c r="I129" s="129"/>
      <c r="J129" s="129"/>
      <c r="K129" s="129"/>
      <c r="L129" s="129"/>
      <c r="M129" s="129"/>
      <c r="N129" s="129"/>
      <c r="O129" s="130"/>
      <c r="P129" s="80"/>
    </row>
    <row r="130" spans="2:16" s="1" customFormat="1" ht="18.600000000000001" thickTop="1" x14ac:dyDescent="0.35">
      <c r="B130" s="131" t="s">
        <v>87</v>
      </c>
      <c r="C130" s="132"/>
      <c r="D130" s="132"/>
      <c r="E130" s="132"/>
      <c r="F130" s="132"/>
      <c r="G130" s="132"/>
      <c r="H130" s="132"/>
      <c r="I130" s="132"/>
      <c r="J130" s="132"/>
      <c r="K130" s="132"/>
      <c r="L130" s="132"/>
      <c r="M130" s="132"/>
      <c r="N130" s="132"/>
      <c r="O130" s="133"/>
      <c r="P130" s="80"/>
    </row>
    <row r="131" spans="2:16" ht="29.4" customHeight="1" x14ac:dyDescent="0.35">
      <c r="B131" s="53" t="s">
        <v>134</v>
      </c>
      <c r="C131" s="53">
        <v>0</v>
      </c>
      <c r="D131" s="53">
        <v>28024</v>
      </c>
      <c r="E131" s="53">
        <v>0</v>
      </c>
      <c r="F131" s="54">
        <f>SUM(C131:E131)</f>
        <v>28024</v>
      </c>
      <c r="G131" s="188">
        <v>0</v>
      </c>
      <c r="H131" s="188">
        <v>0</v>
      </c>
      <c r="I131" s="188">
        <v>0</v>
      </c>
      <c r="J131" s="173">
        <v>60000</v>
      </c>
      <c r="K131" s="18">
        <v>0</v>
      </c>
      <c r="L131" s="18">
        <v>0</v>
      </c>
      <c r="M131" s="41">
        <v>0</v>
      </c>
      <c r="N131" s="41">
        <v>60000</v>
      </c>
      <c r="O131" s="41">
        <f>SUM(F131+J131+N131)</f>
        <v>148024</v>
      </c>
      <c r="P131" s="80"/>
    </row>
    <row r="132" spans="2:16" ht="18" x14ac:dyDescent="0.35">
      <c r="B132" s="55" t="s">
        <v>135</v>
      </c>
      <c r="C132" s="55">
        <f>19900+20300+18200</f>
        <v>58400</v>
      </c>
      <c r="D132" s="55">
        <v>45000</v>
      </c>
      <c r="E132" s="55">
        <v>40000</v>
      </c>
      <c r="F132" s="54">
        <f t="shared" ref="F132:F133" si="58">SUM(C132:E132)</f>
        <v>143400</v>
      </c>
      <c r="G132" s="188">
        <v>0</v>
      </c>
      <c r="H132" s="188">
        <v>0</v>
      </c>
      <c r="I132" s="188">
        <v>0</v>
      </c>
      <c r="J132" s="173">
        <v>45000</v>
      </c>
      <c r="K132" s="18">
        <v>0</v>
      </c>
      <c r="L132" s="18">
        <v>0</v>
      </c>
      <c r="M132" s="41">
        <v>0</v>
      </c>
      <c r="N132" s="41">
        <v>45000</v>
      </c>
      <c r="O132" s="41">
        <f t="shared" ref="O132:O134" si="59">SUM(F132+J132+N132)</f>
        <v>233400</v>
      </c>
      <c r="P132" s="80"/>
    </row>
    <row r="133" spans="2:16" ht="28.65" customHeight="1" x14ac:dyDescent="0.35">
      <c r="B133" s="48" t="s">
        <v>136</v>
      </c>
      <c r="C133" s="48">
        <v>0</v>
      </c>
      <c r="D133" s="48">
        <v>0</v>
      </c>
      <c r="E133" s="48">
        <v>0</v>
      </c>
      <c r="F133" s="54">
        <f t="shared" si="58"/>
        <v>0</v>
      </c>
      <c r="G133" s="188">
        <v>0</v>
      </c>
      <c r="H133" s="188">
        <v>0</v>
      </c>
      <c r="I133" s="188">
        <v>0</v>
      </c>
      <c r="J133" s="173">
        <v>20000</v>
      </c>
      <c r="K133" s="18">
        <v>0</v>
      </c>
      <c r="L133" s="18">
        <v>0</v>
      </c>
      <c r="M133" s="41">
        <v>0</v>
      </c>
      <c r="N133" s="41">
        <v>20000</v>
      </c>
      <c r="O133" s="41">
        <f t="shared" si="59"/>
        <v>40000</v>
      </c>
      <c r="P133" s="80"/>
    </row>
    <row r="134" spans="2:16" ht="18" x14ac:dyDescent="0.35">
      <c r="B134" s="53" t="s">
        <v>66</v>
      </c>
      <c r="C134" s="53">
        <v>0</v>
      </c>
      <c r="D134" s="53">
        <v>0</v>
      </c>
      <c r="E134" s="53">
        <v>0</v>
      </c>
      <c r="F134" s="54">
        <v>0</v>
      </c>
      <c r="G134" s="188">
        <f>SUM(G131:G133)</f>
        <v>0</v>
      </c>
      <c r="H134" s="188">
        <v>0</v>
      </c>
      <c r="I134" s="188">
        <f>SUM(I131:I133)</f>
        <v>0</v>
      </c>
      <c r="J134" s="189">
        <v>110000</v>
      </c>
      <c r="K134" s="18">
        <f>SUM(K131:K133)</f>
        <v>0</v>
      </c>
      <c r="L134" s="18">
        <v>0</v>
      </c>
      <c r="M134" s="56">
        <v>0</v>
      </c>
      <c r="N134" s="41">
        <v>120000</v>
      </c>
      <c r="O134" s="41">
        <f t="shared" si="59"/>
        <v>230000</v>
      </c>
      <c r="P134" s="80"/>
    </row>
    <row r="135" spans="2:16" s="1" customFormat="1" ht="19.350000000000001" customHeight="1" x14ac:dyDescent="0.35">
      <c r="B135" s="30" t="s">
        <v>98</v>
      </c>
      <c r="C135" s="35">
        <f>SUM(C131:C134)</f>
        <v>58400</v>
      </c>
      <c r="D135" s="35">
        <f t="shared" ref="D135:G135" si="60">SUM(D131:D134)</f>
        <v>73024</v>
      </c>
      <c r="E135" s="35">
        <f t="shared" si="60"/>
        <v>40000</v>
      </c>
      <c r="F135" s="35">
        <f t="shared" si="60"/>
        <v>171424</v>
      </c>
      <c r="G135" s="190">
        <f t="shared" si="60"/>
        <v>0</v>
      </c>
      <c r="H135" s="190">
        <f t="shared" ref="H135" si="61">SUM(H131:H134)</f>
        <v>0</v>
      </c>
      <c r="I135" s="190">
        <f t="shared" ref="I135" si="62">SUM(I131:I134)</f>
        <v>0</v>
      </c>
      <c r="J135" s="190">
        <f t="shared" ref="J135:K135" si="63">SUM(J131:J134)</f>
        <v>235000</v>
      </c>
      <c r="K135" s="35">
        <f t="shared" si="63"/>
        <v>0</v>
      </c>
      <c r="L135" s="35">
        <f t="shared" ref="L135" si="64">SUM(L131:L134)</f>
        <v>0</v>
      </c>
      <c r="M135" s="35">
        <f t="shared" ref="M135" si="65">SUM(M131:M134)</f>
        <v>0</v>
      </c>
      <c r="N135" s="35">
        <f>SUM(N131:N134)</f>
        <v>245000</v>
      </c>
      <c r="O135" s="35">
        <f t="shared" ref="O135" si="66">SUM(O131:O134)</f>
        <v>651424</v>
      </c>
      <c r="P135" s="80"/>
    </row>
    <row r="136" spans="2:16" s="16" customFormat="1" ht="18" x14ac:dyDescent="0.35">
      <c r="B136" s="134" t="s">
        <v>89</v>
      </c>
      <c r="C136" s="135"/>
      <c r="D136" s="135"/>
      <c r="E136" s="135"/>
      <c r="F136" s="135"/>
      <c r="G136" s="135"/>
      <c r="H136" s="135"/>
      <c r="I136" s="135"/>
      <c r="J136" s="135"/>
      <c r="K136" s="135"/>
      <c r="L136" s="135"/>
      <c r="M136" s="135"/>
      <c r="N136" s="135"/>
      <c r="O136" s="136"/>
      <c r="P136" s="80"/>
    </row>
    <row r="137" spans="2:16" ht="18" x14ac:dyDescent="0.35">
      <c r="B137" s="53" t="s">
        <v>137</v>
      </c>
      <c r="C137" s="53">
        <v>0</v>
      </c>
      <c r="D137" s="53">
        <v>0</v>
      </c>
      <c r="E137" s="53">
        <v>0</v>
      </c>
      <c r="F137" s="56">
        <f>317000/2</f>
        <v>158500</v>
      </c>
      <c r="G137" s="191">
        <v>0</v>
      </c>
      <c r="H137" s="191">
        <v>0</v>
      </c>
      <c r="I137" s="188">
        <v>0</v>
      </c>
      <c r="J137" s="189">
        <v>317000</v>
      </c>
      <c r="K137" s="53">
        <v>0</v>
      </c>
      <c r="L137" s="53">
        <v>0</v>
      </c>
      <c r="M137" s="53">
        <v>0</v>
      </c>
      <c r="N137" s="56">
        <f>317000/2</f>
        <v>158500</v>
      </c>
      <c r="O137" s="41">
        <f t="shared" si="49"/>
        <v>634000</v>
      </c>
      <c r="P137" s="80"/>
    </row>
    <row r="138" spans="2:16" ht="18" x14ac:dyDescent="0.35">
      <c r="B138" s="53" t="s">
        <v>138</v>
      </c>
      <c r="C138" s="53">
        <v>0</v>
      </c>
      <c r="D138" s="53">
        <v>0</v>
      </c>
      <c r="E138" s="53">
        <v>0</v>
      </c>
      <c r="F138" s="56">
        <f>284000/2</f>
        <v>142000</v>
      </c>
      <c r="G138" s="191">
        <v>0</v>
      </c>
      <c r="H138" s="191">
        <v>0</v>
      </c>
      <c r="I138" s="188">
        <v>0</v>
      </c>
      <c r="J138" s="189">
        <v>284000</v>
      </c>
      <c r="K138" s="53">
        <v>0</v>
      </c>
      <c r="L138" s="53">
        <v>0</v>
      </c>
      <c r="M138" s="53">
        <v>0</v>
      </c>
      <c r="N138" s="56">
        <f>284000/2</f>
        <v>142000</v>
      </c>
      <c r="O138" s="41">
        <f t="shared" si="49"/>
        <v>568000</v>
      </c>
      <c r="P138" s="80"/>
    </row>
    <row r="139" spans="2:16" ht="18" x14ac:dyDescent="0.35">
      <c r="B139" s="53" t="s">
        <v>143</v>
      </c>
      <c r="C139" s="53">
        <v>0</v>
      </c>
      <c r="D139" s="53">
        <v>0</v>
      </c>
      <c r="E139" s="53">
        <v>0</v>
      </c>
      <c r="F139" s="53">
        <v>0</v>
      </c>
      <c r="G139" s="191">
        <v>0</v>
      </c>
      <c r="H139" s="191">
        <v>0</v>
      </c>
      <c r="I139" s="191">
        <v>0</v>
      </c>
      <c r="J139" s="189">
        <v>248000</v>
      </c>
      <c r="K139" s="53">
        <v>0</v>
      </c>
      <c r="L139" s="53">
        <v>0</v>
      </c>
      <c r="M139" s="53">
        <v>0</v>
      </c>
      <c r="N139" s="56">
        <f>248000/2</f>
        <v>124000</v>
      </c>
      <c r="O139" s="41">
        <f>F139+J139+N139</f>
        <v>372000</v>
      </c>
      <c r="P139" s="80"/>
    </row>
    <row r="140" spans="2:16" ht="18" x14ac:dyDescent="0.35">
      <c r="B140" s="53" t="s">
        <v>139</v>
      </c>
      <c r="C140" s="53">
        <v>0</v>
      </c>
      <c r="D140" s="53">
        <v>0</v>
      </c>
      <c r="E140" s="53">
        <v>0</v>
      </c>
      <c r="F140" s="56">
        <f>25679.46068/2</f>
        <v>12839.73034</v>
      </c>
      <c r="G140" s="191">
        <v>0</v>
      </c>
      <c r="H140" s="191">
        <v>0</v>
      </c>
      <c r="I140" s="188">
        <v>0</v>
      </c>
      <c r="J140" s="189">
        <v>25679.460679999997</v>
      </c>
      <c r="K140" s="53">
        <v>0</v>
      </c>
      <c r="L140" s="53">
        <v>0</v>
      </c>
      <c r="M140" s="53">
        <v>0</v>
      </c>
      <c r="N140" s="56">
        <v>12839.73034</v>
      </c>
      <c r="O140" s="41">
        <f>F140+J140+N140</f>
        <v>51358.92136</v>
      </c>
      <c r="P140" s="80"/>
    </row>
    <row r="141" spans="2:16" ht="18" x14ac:dyDescent="0.35">
      <c r="B141" s="53" t="s">
        <v>144</v>
      </c>
      <c r="C141" s="53">
        <v>0</v>
      </c>
      <c r="D141" s="53">
        <v>0</v>
      </c>
      <c r="E141" s="53">
        <v>0</v>
      </c>
      <c r="F141" s="53">
        <v>0</v>
      </c>
      <c r="G141" s="191">
        <v>0</v>
      </c>
      <c r="H141" s="191">
        <v>0</v>
      </c>
      <c r="I141" s="191">
        <v>0</v>
      </c>
      <c r="J141" s="189">
        <v>211000</v>
      </c>
      <c r="K141" s="53">
        <v>0</v>
      </c>
      <c r="L141" s="53">
        <v>0</v>
      </c>
      <c r="M141" s="53">
        <v>0</v>
      </c>
      <c r="N141" s="56">
        <f>211000/2</f>
        <v>105500</v>
      </c>
      <c r="O141" s="41">
        <f>F141+J141+N141</f>
        <v>316500</v>
      </c>
      <c r="P141" s="80"/>
    </row>
    <row r="142" spans="2:16" ht="18" x14ac:dyDescent="0.35">
      <c r="B142" s="53" t="s">
        <v>140</v>
      </c>
      <c r="C142" s="53">
        <v>0</v>
      </c>
      <c r="D142" s="53">
        <v>0</v>
      </c>
      <c r="E142" s="53">
        <v>0</v>
      </c>
      <c r="F142" s="56">
        <f>28127.303716/2</f>
        <v>14063.651857999999</v>
      </c>
      <c r="G142" s="191">
        <v>0</v>
      </c>
      <c r="H142" s="191">
        <v>0</v>
      </c>
      <c r="I142" s="188">
        <v>0</v>
      </c>
      <c r="J142" s="189">
        <v>28127.303716000002</v>
      </c>
      <c r="K142" s="53">
        <v>0</v>
      </c>
      <c r="L142" s="53">
        <v>0</v>
      </c>
      <c r="M142" s="53">
        <v>0</v>
      </c>
      <c r="N142" s="56">
        <v>14063.651857999999</v>
      </c>
      <c r="O142" s="41">
        <f>F142+J142+N142</f>
        <v>56254.607431999997</v>
      </c>
      <c r="P142" s="80"/>
    </row>
    <row r="143" spans="2:16" ht="18" x14ac:dyDescent="0.35">
      <c r="B143" s="53" t="s">
        <v>141</v>
      </c>
      <c r="C143" s="53">
        <v>0</v>
      </c>
      <c r="D143" s="53">
        <v>0</v>
      </c>
      <c r="E143" s="53">
        <v>0</v>
      </c>
      <c r="F143" s="56">
        <f>28127.303716/2</f>
        <v>14063.651857999999</v>
      </c>
      <c r="G143" s="191">
        <v>0</v>
      </c>
      <c r="H143" s="191">
        <v>0</v>
      </c>
      <c r="I143" s="188">
        <v>0</v>
      </c>
      <c r="J143" s="189">
        <v>28127.303716000002</v>
      </c>
      <c r="K143" s="53">
        <v>0</v>
      </c>
      <c r="L143" s="53">
        <v>0</v>
      </c>
      <c r="M143" s="53">
        <v>0</v>
      </c>
      <c r="N143" s="56">
        <v>14063.651857999999</v>
      </c>
      <c r="O143" s="41">
        <f t="shared" si="49"/>
        <v>56254.607431999997</v>
      </c>
      <c r="P143" s="80"/>
    </row>
    <row r="144" spans="2:16" ht="18" x14ac:dyDescent="0.35">
      <c r="B144" s="53" t="s">
        <v>142</v>
      </c>
      <c r="C144" s="53">
        <v>0</v>
      </c>
      <c r="D144" s="53">
        <v>0</v>
      </c>
      <c r="E144" s="53">
        <v>0</v>
      </c>
      <c r="F144" s="56">
        <f>28127.303716/2</f>
        <v>14063.651857999999</v>
      </c>
      <c r="G144" s="191">
        <v>0</v>
      </c>
      <c r="H144" s="191">
        <v>0</v>
      </c>
      <c r="I144" s="188">
        <v>0</v>
      </c>
      <c r="J144" s="189">
        <v>28127.303716000002</v>
      </c>
      <c r="K144" s="53">
        <v>0</v>
      </c>
      <c r="L144" s="53">
        <v>0</v>
      </c>
      <c r="M144" s="53">
        <v>0</v>
      </c>
      <c r="N144" s="56">
        <v>14063.651857999999</v>
      </c>
      <c r="O144" s="41">
        <f t="shared" si="49"/>
        <v>56254.607431999997</v>
      </c>
      <c r="P144" s="80"/>
    </row>
    <row r="145" spans="2:16" ht="18" x14ac:dyDescent="0.35">
      <c r="B145" s="53" t="s">
        <v>149</v>
      </c>
      <c r="C145" s="53">
        <v>0</v>
      </c>
      <c r="D145" s="53">
        <v>0</v>
      </c>
      <c r="E145" s="53">
        <v>0</v>
      </c>
      <c r="F145" s="53">
        <v>0</v>
      </c>
      <c r="G145" s="191">
        <v>0</v>
      </c>
      <c r="H145" s="191">
        <v>0</v>
      </c>
      <c r="I145" s="188">
        <v>0</v>
      </c>
      <c r="J145" s="189">
        <v>32152.396335999998</v>
      </c>
      <c r="K145" s="53">
        <v>0</v>
      </c>
      <c r="L145" s="53">
        <v>0</v>
      </c>
      <c r="M145" s="53">
        <v>0</v>
      </c>
      <c r="N145" s="56">
        <v>16076.198168000001</v>
      </c>
      <c r="O145" s="41">
        <f t="shared" ref="O145:O146" si="67">F145+J145+N145</f>
        <v>48228.594504000001</v>
      </c>
      <c r="P145" s="80"/>
    </row>
    <row r="146" spans="2:16" ht="18" x14ac:dyDescent="0.35">
      <c r="B146" s="53" t="s">
        <v>150</v>
      </c>
      <c r="C146" s="53">
        <v>0</v>
      </c>
      <c r="D146" s="53">
        <v>0</v>
      </c>
      <c r="E146" s="53">
        <v>0</v>
      </c>
      <c r="F146" s="53">
        <v>0</v>
      </c>
      <c r="G146" s="191">
        <v>0</v>
      </c>
      <c r="H146" s="191">
        <v>0</v>
      </c>
      <c r="I146" s="188">
        <v>0</v>
      </c>
      <c r="J146" s="189">
        <v>25679.460679999997</v>
      </c>
      <c r="K146" s="18">
        <v>0</v>
      </c>
      <c r="L146" s="18">
        <v>0</v>
      </c>
      <c r="M146" s="53">
        <v>0</v>
      </c>
      <c r="N146" s="56">
        <v>12839.73034</v>
      </c>
      <c r="O146" s="41">
        <f t="shared" si="67"/>
        <v>38519.191019999998</v>
      </c>
      <c r="P146" s="80"/>
    </row>
    <row r="147" spans="2:16" ht="18" x14ac:dyDescent="0.35">
      <c r="B147" s="53" t="s">
        <v>145</v>
      </c>
      <c r="C147" s="53">
        <v>0</v>
      </c>
      <c r="D147" s="53">
        <v>0</v>
      </c>
      <c r="E147" s="53">
        <v>0</v>
      </c>
      <c r="F147" s="53">
        <v>0</v>
      </c>
      <c r="G147" s="191">
        <v>0</v>
      </c>
      <c r="H147" s="191">
        <v>0</v>
      </c>
      <c r="I147" s="191">
        <v>0</v>
      </c>
      <c r="J147" s="189">
        <v>211000</v>
      </c>
      <c r="K147" s="53">
        <v>0</v>
      </c>
      <c r="L147" s="53">
        <v>0</v>
      </c>
      <c r="M147" s="53">
        <v>0</v>
      </c>
      <c r="N147" s="56">
        <f>211000/2</f>
        <v>105500</v>
      </c>
      <c r="O147" s="41">
        <f>F147+J147+N147</f>
        <v>316500</v>
      </c>
      <c r="P147" s="80"/>
    </row>
    <row r="148" spans="2:16" ht="18" x14ac:dyDescent="0.35">
      <c r="B148" s="53" t="s">
        <v>146</v>
      </c>
      <c r="C148" s="53">
        <v>0</v>
      </c>
      <c r="D148" s="53">
        <v>0</v>
      </c>
      <c r="E148" s="53">
        <v>0</v>
      </c>
      <c r="F148" s="53">
        <v>0</v>
      </c>
      <c r="G148" s="191">
        <v>0</v>
      </c>
      <c r="H148" s="191">
        <v>0</v>
      </c>
      <c r="I148" s="191">
        <v>0</v>
      </c>
      <c r="J148" s="189">
        <v>211000</v>
      </c>
      <c r="K148" s="53">
        <v>0</v>
      </c>
      <c r="L148" s="53">
        <v>0</v>
      </c>
      <c r="M148" s="53">
        <v>0</v>
      </c>
      <c r="N148" s="56">
        <f>211000/2</f>
        <v>105500</v>
      </c>
      <c r="O148" s="41">
        <f>F148+J148+N148</f>
        <v>316500</v>
      </c>
      <c r="P148" s="80"/>
    </row>
    <row r="149" spans="2:16" ht="18" x14ac:dyDescent="0.35">
      <c r="B149" s="53" t="s">
        <v>147</v>
      </c>
      <c r="C149" s="53">
        <v>0</v>
      </c>
      <c r="D149" s="53">
        <v>0</v>
      </c>
      <c r="E149" s="53">
        <v>0</v>
      </c>
      <c r="F149" s="56">
        <f>35087.710936/2</f>
        <v>17543.855468000002</v>
      </c>
      <c r="G149" s="191">
        <v>0</v>
      </c>
      <c r="H149" s="191">
        <v>0</v>
      </c>
      <c r="I149" s="188">
        <v>0</v>
      </c>
      <c r="J149" s="189">
        <v>35087.710935999996</v>
      </c>
      <c r="K149" s="53">
        <v>0</v>
      </c>
      <c r="L149" s="53">
        <v>0</v>
      </c>
      <c r="M149" s="53">
        <v>0</v>
      </c>
      <c r="N149" s="56">
        <v>17543.855468000002</v>
      </c>
      <c r="O149" s="41">
        <f t="shared" si="49"/>
        <v>70175.421872000006</v>
      </c>
      <c r="P149" s="80"/>
    </row>
    <row r="150" spans="2:16" ht="18" x14ac:dyDescent="0.35">
      <c r="B150" s="53" t="s">
        <v>148</v>
      </c>
      <c r="C150" s="53">
        <v>0</v>
      </c>
      <c r="D150" s="53">
        <v>0</v>
      </c>
      <c r="E150" s="53">
        <v>0</v>
      </c>
      <c r="F150" s="56">
        <f>20745.78392/2</f>
        <v>10372.891960000001</v>
      </c>
      <c r="G150" s="191">
        <v>0</v>
      </c>
      <c r="H150" s="191">
        <v>0</v>
      </c>
      <c r="I150" s="188">
        <v>0</v>
      </c>
      <c r="J150" s="189">
        <v>20745.783920000002</v>
      </c>
      <c r="K150" s="53">
        <v>0</v>
      </c>
      <c r="L150" s="53">
        <v>0</v>
      </c>
      <c r="M150" s="53">
        <v>0</v>
      </c>
      <c r="N150" s="56">
        <v>10372.891960000001</v>
      </c>
      <c r="O150" s="41">
        <f t="shared" si="49"/>
        <v>41491.567840000003</v>
      </c>
      <c r="P150" s="80"/>
    </row>
    <row r="151" spans="2:16" ht="18" x14ac:dyDescent="0.35">
      <c r="B151" s="53" t="s">
        <v>151</v>
      </c>
      <c r="C151" s="53">
        <v>0</v>
      </c>
      <c r="D151" s="53">
        <v>0</v>
      </c>
      <c r="E151" s="53">
        <v>0</v>
      </c>
      <c r="F151" s="54">
        <v>50000</v>
      </c>
      <c r="G151" s="188">
        <v>0</v>
      </c>
      <c r="H151" s="188">
        <v>0</v>
      </c>
      <c r="I151" s="188">
        <v>0</v>
      </c>
      <c r="J151" s="173">
        <v>100000</v>
      </c>
      <c r="K151" s="18">
        <v>0</v>
      </c>
      <c r="L151" s="18">
        <v>0</v>
      </c>
      <c r="M151" s="41">
        <v>0</v>
      </c>
      <c r="N151" s="41">
        <v>100000</v>
      </c>
      <c r="O151" s="41">
        <f t="shared" si="49"/>
        <v>250000</v>
      </c>
      <c r="P151" s="80"/>
    </row>
    <row r="152" spans="2:16" s="1" customFormat="1" ht="20.399999999999999" customHeight="1" x14ac:dyDescent="0.35">
      <c r="B152" s="30" t="s">
        <v>98</v>
      </c>
      <c r="C152" s="35">
        <f t="shared" ref="C152:O152" si="68">SUM(C137:C151)</f>
        <v>0</v>
      </c>
      <c r="D152" s="35">
        <f t="shared" si="68"/>
        <v>0</v>
      </c>
      <c r="E152" s="35">
        <f t="shared" si="68"/>
        <v>0</v>
      </c>
      <c r="F152" s="35">
        <f t="shared" si="68"/>
        <v>433447.43334200006</v>
      </c>
      <c r="G152" s="190">
        <f t="shared" si="68"/>
        <v>0</v>
      </c>
      <c r="H152" s="190">
        <f t="shared" si="68"/>
        <v>0</v>
      </c>
      <c r="I152" s="190">
        <f t="shared" si="68"/>
        <v>0</v>
      </c>
      <c r="J152" s="190">
        <f t="shared" si="68"/>
        <v>1805726.7237</v>
      </c>
      <c r="K152" s="35">
        <f t="shared" si="68"/>
        <v>0</v>
      </c>
      <c r="L152" s="35">
        <f t="shared" si="68"/>
        <v>0</v>
      </c>
      <c r="M152" s="35">
        <f t="shared" si="68"/>
        <v>0</v>
      </c>
      <c r="N152" s="35">
        <f t="shared" si="68"/>
        <v>952863.36184999999</v>
      </c>
      <c r="O152" s="35">
        <f t="shared" si="68"/>
        <v>3192037.5188920004</v>
      </c>
      <c r="P152" s="80"/>
    </row>
    <row r="153" spans="2:16" s="1" customFormat="1" ht="18" x14ac:dyDescent="0.35">
      <c r="B153" s="134" t="s">
        <v>88</v>
      </c>
      <c r="C153" s="135"/>
      <c r="D153" s="135"/>
      <c r="E153" s="135"/>
      <c r="F153" s="135"/>
      <c r="G153" s="135"/>
      <c r="H153" s="135"/>
      <c r="I153" s="135"/>
      <c r="J153" s="135"/>
      <c r="K153" s="135"/>
      <c r="L153" s="135"/>
      <c r="M153" s="135"/>
      <c r="N153" s="135"/>
      <c r="O153" s="136"/>
      <c r="P153" s="80"/>
    </row>
    <row r="154" spans="2:16" ht="18" x14ac:dyDescent="0.35">
      <c r="B154" s="53" t="s">
        <v>78</v>
      </c>
      <c r="C154" s="53">
        <v>0</v>
      </c>
      <c r="D154" s="53">
        <f>19241.9580512821/2</f>
        <v>9620.9790256410506</v>
      </c>
      <c r="E154" s="53">
        <v>0</v>
      </c>
      <c r="F154" s="56">
        <f>SUM(C154:E154)</f>
        <v>9620.9790256410506</v>
      </c>
      <c r="G154" s="188">
        <v>0</v>
      </c>
      <c r="H154" s="191">
        <v>19241.95805128205</v>
      </c>
      <c r="I154" s="188">
        <v>0</v>
      </c>
      <c r="J154" s="189">
        <f>SUM(G154:I154)</f>
        <v>19241.95805128205</v>
      </c>
      <c r="K154" s="18">
        <v>0</v>
      </c>
      <c r="L154" s="53">
        <v>9620.9790256410506</v>
      </c>
      <c r="M154" s="18">
        <v>0</v>
      </c>
      <c r="N154" s="56">
        <f t="shared" ref="N154:N162" si="69">SUM(K154:M154)</f>
        <v>9620.9790256410506</v>
      </c>
      <c r="O154" s="41">
        <f>F154+J154+N154</f>
        <v>38483.916102564152</v>
      </c>
      <c r="P154" s="80"/>
    </row>
    <row r="155" spans="2:16" ht="18" x14ac:dyDescent="0.35">
      <c r="B155" s="53" t="s">
        <v>79</v>
      </c>
      <c r="C155" s="53">
        <v>0</v>
      </c>
      <c r="D155" s="53">
        <f>12001.7996102564/2</f>
        <v>6000.8998051281997</v>
      </c>
      <c r="E155" s="53">
        <v>0</v>
      </c>
      <c r="F155" s="56">
        <f t="shared" ref="F155:F162" si="70">SUM(C155:E155)</f>
        <v>6000.8998051281997</v>
      </c>
      <c r="G155" s="188">
        <v>0</v>
      </c>
      <c r="H155" s="191">
        <v>12001.79961025641</v>
      </c>
      <c r="I155" s="188">
        <v>0</v>
      </c>
      <c r="J155" s="189">
        <f t="shared" ref="J155:J162" si="71">SUM(G155:I155)</f>
        <v>12001.79961025641</v>
      </c>
      <c r="K155" s="18">
        <v>0</v>
      </c>
      <c r="L155" s="53">
        <v>6000.8998051281997</v>
      </c>
      <c r="M155" s="18">
        <v>0</v>
      </c>
      <c r="N155" s="56">
        <f t="shared" si="69"/>
        <v>6000.8998051281997</v>
      </c>
      <c r="O155" s="41">
        <f t="shared" ref="O155:O163" si="72">F155+J155+N155</f>
        <v>24003.59922051281</v>
      </c>
      <c r="P155" s="80"/>
    </row>
    <row r="156" spans="2:16" ht="18" x14ac:dyDescent="0.35">
      <c r="B156" s="53" t="s">
        <v>80</v>
      </c>
      <c r="C156" s="53">
        <v>0</v>
      </c>
      <c r="D156" s="53">
        <f>7096.12064615384/2</f>
        <v>3548.0603230769202</v>
      </c>
      <c r="E156" s="53">
        <v>0</v>
      </c>
      <c r="F156" s="56">
        <f t="shared" si="70"/>
        <v>3548.0603230769202</v>
      </c>
      <c r="G156" s="188">
        <v>0</v>
      </c>
      <c r="H156" s="191">
        <v>7096.120646153845</v>
      </c>
      <c r="I156" s="188"/>
      <c r="J156" s="189">
        <f t="shared" si="71"/>
        <v>7096.120646153845</v>
      </c>
      <c r="K156" s="18">
        <v>0</v>
      </c>
      <c r="L156" s="53">
        <v>3548.0603230769202</v>
      </c>
      <c r="M156" s="18">
        <v>0</v>
      </c>
      <c r="N156" s="56">
        <f t="shared" si="69"/>
        <v>3548.0603230769202</v>
      </c>
      <c r="O156" s="41">
        <f t="shared" si="72"/>
        <v>14192.241292307684</v>
      </c>
      <c r="P156" s="80"/>
    </row>
    <row r="157" spans="2:16" ht="18" x14ac:dyDescent="0.35">
      <c r="B157" s="53" t="s">
        <v>81</v>
      </c>
      <c r="C157" s="53">
        <f>28127.3/2</f>
        <v>14063.65</v>
      </c>
      <c r="D157" s="53">
        <v>0</v>
      </c>
      <c r="E157" s="53">
        <v>0</v>
      </c>
      <c r="F157" s="56">
        <f t="shared" si="70"/>
        <v>14063.65</v>
      </c>
      <c r="G157" s="191">
        <v>28127.3</v>
      </c>
      <c r="H157" s="188">
        <v>0</v>
      </c>
      <c r="I157" s="188">
        <v>0</v>
      </c>
      <c r="J157" s="189">
        <f t="shared" si="71"/>
        <v>28127.3</v>
      </c>
      <c r="K157" s="53">
        <v>14063.65</v>
      </c>
      <c r="L157" s="18">
        <v>0</v>
      </c>
      <c r="M157" s="18">
        <v>0</v>
      </c>
      <c r="N157" s="56">
        <f t="shared" si="69"/>
        <v>14063.65</v>
      </c>
      <c r="O157" s="41">
        <f t="shared" si="72"/>
        <v>56254.6</v>
      </c>
      <c r="P157" s="80"/>
    </row>
    <row r="158" spans="2:16" ht="18" x14ac:dyDescent="0.35">
      <c r="B158" s="53" t="s">
        <v>82</v>
      </c>
      <c r="C158" s="53">
        <f>17543.86/2</f>
        <v>8771.93</v>
      </c>
      <c r="D158" s="53">
        <v>0</v>
      </c>
      <c r="E158" s="53">
        <v>0</v>
      </c>
      <c r="F158" s="56">
        <f t="shared" si="70"/>
        <v>8771.93</v>
      </c>
      <c r="G158" s="191">
        <v>17543.86</v>
      </c>
      <c r="H158" s="188">
        <v>0</v>
      </c>
      <c r="I158" s="188">
        <v>0</v>
      </c>
      <c r="J158" s="189">
        <f t="shared" si="71"/>
        <v>17543.86</v>
      </c>
      <c r="K158" s="53">
        <v>8771.93</v>
      </c>
      <c r="L158" s="18">
        <v>0</v>
      </c>
      <c r="M158" s="18">
        <v>0</v>
      </c>
      <c r="N158" s="56">
        <f t="shared" si="69"/>
        <v>8771.93</v>
      </c>
      <c r="O158" s="41">
        <f t="shared" si="72"/>
        <v>35087.72</v>
      </c>
      <c r="P158" s="80"/>
    </row>
    <row r="159" spans="2:16" ht="18" x14ac:dyDescent="0.35">
      <c r="B159" s="53" t="s">
        <v>83</v>
      </c>
      <c r="C159" s="53">
        <f>10372.89/2</f>
        <v>5186.4449999999997</v>
      </c>
      <c r="D159" s="53">
        <v>0</v>
      </c>
      <c r="E159" s="53">
        <v>0</v>
      </c>
      <c r="F159" s="56">
        <f t="shared" si="70"/>
        <v>5186.4449999999997</v>
      </c>
      <c r="G159" s="191">
        <v>10372.89</v>
      </c>
      <c r="H159" s="188">
        <v>0</v>
      </c>
      <c r="I159" s="188">
        <v>0</v>
      </c>
      <c r="J159" s="189">
        <f t="shared" si="71"/>
        <v>10372.89</v>
      </c>
      <c r="K159" s="53">
        <v>5186.4449999999997</v>
      </c>
      <c r="L159" s="18">
        <v>0</v>
      </c>
      <c r="M159" s="18">
        <v>0</v>
      </c>
      <c r="N159" s="56">
        <f t="shared" si="69"/>
        <v>5186.4449999999997</v>
      </c>
      <c r="O159" s="41">
        <f t="shared" si="72"/>
        <v>20745.78</v>
      </c>
      <c r="P159" s="80"/>
    </row>
    <row r="160" spans="2:16" ht="18" x14ac:dyDescent="0.35">
      <c r="B160" s="53" t="s">
        <v>84</v>
      </c>
      <c r="C160" s="53">
        <v>0</v>
      </c>
      <c r="D160" s="53">
        <v>0</v>
      </c>
      <c r="E160" s="53">
        <f>28127.303716/2</f>
        <v>14063.651857999999</v>
      </c>
      <c r="F160" s="56">
        <f t="shared" si="70"/>
        <v>14063.651857999999</v>
      </c>
      <c r="G160" s="188">
        <v>0</v>
      </c>
      <c r="H160" s="192">
        <v>0</v>
      </c>
      <c r="I160" s="188">
        <v>28127.303716000002</v>
      </c>
      <c r="J160" s="189">
        <f t="shared" si="71"/>
        <v>28127.303716000002</v>
      </c>
      <c r="K160" s="18">
        <v>0</v>
      </c>
      <c r="L160" s="50">
        <v>0</v>
      </c>
      <c r="M160" s="18">
        <v>14063.651857999999</v>
      </c>
      <c r="N160" s="56">
        <f t="shared" si="69"/>
        <v>14063.651857999999</v>
      </c>
      <c r="O160" s="41">
        <f t="shared" si="72"/>
        <v>56254.607431999997</v>
      </c>
      <c r="P160" s="80"/>
    </row>
    <row r="161" spans="2:16" ht="18" x14ac:dyDescent="0.35">
      <c r="B161" s="53" t="s">
        <v>85</v>
      </c>
      <c r="C161" s="53">
        <v>0</v>
      </c>
      <c r="D161" s="53">
        <v>0</v>
      </c>
      <c r="E161" s="53">
        <f>17543.855468/2</f>
        <v>8771.9277340000008</v>
      </c>
      <c r="F161" s="56">
        <f t="shared" si="70"/>
        <v>8771.9277340000008</v>
      </c>
      <c r="G161" s="188">
        <v>0</v>
      </c>
      <c r="H161" s="192">
        <v>0</v>
      </c>
      <c r="I161" s="188">
        <v>17543.855467999998</v>
      </c>
      <c r="J161" s="189">
        <f t="shared" si="71"/>
        <v>17543.855467999998</v>
      </c>
      <c r="K161" s="18">
        <v>0</v>
      </c>
      <c r="L161" s="50">
        <v>0</v>
      </c>
      <c r="M161" s="18">
        <v>8771.9277340000008</v>
      </c>
      <c r="N161" s="56">
        <f t="shared" si="69"/>
        <v>8771.9277340000008</v>
      </c>
      <c r="O161" s="41">
        <f t="shared" si="72"/>
        <v>35087.710936000003</v>
      </c>
      <c r="P161" s="80"/>
    </row>
    <row r="162" spans="2:16" ht="18" x14ac:dyDescent="0.35">
      <c r="B162" s="53" t="s">
        <v>86</v>
      </c>
      <c r="C162" s="53">
        <v>0</v>
      </c>
      <c r="D162" s="53">
        <v>0</v>
      </c>
      <c r="E162" s="53">
        <f>8608.4087/2</f>
        <v>4304.20435</v>
      </c>
      <c r="F162" s="56">
        <f t="shared" si="70"/>
        <v>4304.20435</v>
      </c>
      <c r="G162" s="188">
        <v>0</v>
      </c>
      <c r="H162" s="192">
        <v>0</v>
      </c>
      <c r="I162" s="188">
        <v>8608.4087</v>
      </c>
      <c r="J162" s="189">
        <f t="shared" si="71"/>
        <v>8608.4087</v>
      </c>
      <c r="K162" s="18">
        <v>0</v>
      </c>
      <c r="L162" s="50">
        <v>0</v>
      </c>
      <c r="M162" s="18">
        <v>4304.20435</v>
      </c>
      <c r="N162" s="56">
        <f t="shared" si="69"/>
        <v>4304.20435</v>
      </c>
      <c r="O162" s="41">
        <f t="shared" si="72"/>
        <v>17216.8174</v>
      </c>
      <c r="P162" s="80"/>
    </row>
    <row r="163" spans="2:16" ht="29.4" customHeight="1" x14ac:dyDescent="0.35">
      <c r="B163" s="53" t="s">
        <v>94</v>
      </c>
      <c r="C163" s="53">
        <v>0</v>
      </c>
      <c r="D163" s="53">
        <v>0</v>
      </c>
      <c r="E163" s="53">
        <v>0</v>
      </c>
      <c r="F163" s="54">
        <f t="shared" ref="F163" si="73">SUM(C163:E163)</f>
        <v>0</v>
      </c>
      <c r="G163" s="188">
        <v>16666.5</v>
      </c>
      <c r="H163" s="188">
        <v>16666.5</v>
      </c>
      <c r="I163" s="188">
        <v>16666.8</v>
      </c>
      <c r="J163" s="173">
        <f>SUM(G163:I163)</f>
        <v>49999.8</v>
      </c>
      <c r="K163" s="18">
        <v>0</v>
      </c>
      <c r="L163" s="18">
        <v>0</v>
      </c>
      <c r="M163" s="18">
        <v>0</v>
      </c>
      <c r="N163" s="56">
        <v>50000</v>
      </c>
      <c r="O163" s="41">
        <f t="shared" si="72"/>
        <v>99999.8</v>
      </c>
      <c r="P163" s="80"/>
    </row>
    <row r="164" spans="2:16" ht="19.350000000000001" customHeight="1" x14ac:dyDescent="0.35">
      <c r="B164" s="30" t="s">
        <v>98</v>
      </c>
      <c r="C164" s="35">
        <f>SUM(C154:C163)</f>
        <v>28022.025000000001</v>
      </c>
      <c r="D164" s="35">
        <f t="shared" ref="D164:F164" si="74">SUM(D154:D163)</f>
        <v>19169.939153846171</v>
      </c>
      <c r="E164" s="35">
        <f t="shared" si="74"/>
        <v>27139.783942000002</v>
      </c>
      <c r="F164" s="35">
        <f t="shared" si="74"/>
        <v>74331.748095846167</v>
      </c>
      <c r="G164" s="190">
        <f>SUM(G154:G163)</f>
        <v>72710.55</v>
      </c>
      <c r="H164" s="190">
        <f t="shared" ref="H164" si="75">SUM(H154:H163)</f>
        <v>55006.378307692306</v>
      </c>
      <c r="I164" s="190">
        <f t="shared" ref="I164" si="76">SUM(I154:I163)</f>
        <v>70946.367884000007</v>
      </c>
      <c r="J164" s="190">
        <f>SUM(J154:J163)</f>
        <v>198663.29619169229</v>
      </c>
      <c r="K164" s="35">
        <f t="shared" ref="K164" si="77">SUM(K154:K163)</f>
        <v>28022.025000000001</v>
      </c>
      <c r="L164" s="35">
        <f t="shared" ref="L164" si="78">SUM(L154:L163)</f>
        <v>19169.939153846171</v>
      </c>
      <c r="M164" s="35">
        <f t="shared" ref="M164" si="79">SUM(M154:M163)</f>
        <v>27139.783942000002</v>
      </c>
      <c r="N164" s="35">
        <f>SUM(N154:N163)</f>
        <v>124331.74809584617</v>
      </c>
      <c r="O164" s="35">
        <f t="shared" ref="O164" si="80">SUM(O154:O163)</f>
        <v>397326.79238338466</v>
      </c>
      <c r="P164" s="80"/>
    </row>
    <row r="165" spans="2:16" s="1" customFormat="1" ht="19.649999999999999" customHeight="1" x14ac:dyDescent="0.35">
      <c r="B165" s="62" t="s">
        <v>95</v>
      </c>
      <c r="C165" s="63">
        <f>C164+C152+C135</f>
        <v>86422.024999999994</v>
      </c>
      <c r="D165" s="63">
        <f t="shared" ref="D165:O165" si="81">D164+D152+D135</f>
        <v>92193.939153846179</v>
      </c>
      <c r="E165" s="63">
        <f t="shared" si="81"/>
        <v>67139.783942000009</v>
      </c>
      <c r="F165" s="63">
        <f t="shared" si="81"/>
        <v>679203.18143784627</v>
      </c>
      <c r="G165" s="63">
        <f t="shared" si="81"/>
        <v>72710.55</v>
      </c>
      <c r="H165" s="63">
        <f t="shared" si="81"/>
        <v>55006.378307692306</v>
      </c>
      <c r="I165" s="63">
        <f t="shared" si="81"/>
        <v>70946.367884000007</v>
      </c>
      <c r="J165" s="63">
        <f t="shared" si="81"/>
        <v>2239390.0198916923</v>
      </c>
      <c r="K165" s="63">
        <f t="shared" si="81"/>
        <v>28022.025000000001</v>
      </c>
      <c r="L165" s="63">
        <f t="shared" si="81"/>
        <v>19169.939153846171</v>
      </c>
      <c r="M165" s="63">
        <f t="shared" si="81"/>
        <v>27139.783942000002</v>
      </c>
      <c r="N165" s="63">
        <f t="shared" si="81"/>
        <v>1322195.1099458463</v>
      </c>
      <c r="O165" s="63">
        <f>O164+O152+O135</f>
        <v>4240788.3112753853</v>
      </c>
      <c r="P165" s="80"/>
    </row>
    <row r="166" spans="2:16" s="81" customFormat="1" ht="18" x14ac:dyDescent="0.35">
      <c r="B166" s="79" t="s">
        <v>161</v>
      </c>
      <c r="C166" s="82">
        <f>C164+C152+C135+C127+C120+C112+C105+C92+C87+C69+C61+C34+C25+C15</f>
        <v>2499022.0249999999</v>
      </c>
      <c r="D166" s="82">
        <f t="shared" ref="D166:O166" si="82">D164+D152+D135+D127+D120+D112+D105+D92+D87+D69+D61+D34+D25+D15</f>
        <v>6669020.9391538464</v>
      </c>
      <c r="E166" s="82">
        <f t="shared" si="82"/>
        <v>7805539.783942</v>
      </c>
      <c r="F166" s="82">
        <f t="shared" si="82"/>
        <v>17407030.181437846</v>
      </c>
      <c r="G166" s="82">
        <f t="shared" si="82"/>
        <v>13636363.425000001</v>
      </c>
      <c r="H166" s="82">
        <f t="shared" si="82"/>
        <v>23598262.49583333</v>
      </c>
      <c r="I166" s="82">
        <f t="shared" si="82"/>
        <v>39850406.867884003</v>
      </c>
      <c r="J166" s="82">
        <f t="shared" si="82"/>
        <v>79125759.512417346</v>
      </c>
      <c r="K166" s="82">
        <f t="shared" si="82"/>
        <v>13591674.9</v>
      </c>
      <c r="L166" s="82">
        <f t="shared" si="82"/>
        <v>23562426.056679487</v>
      </c>
      <c r="M166" s="82">
        <f t="shared" si="82"/>
        <v>39806600.283941999</v>
      </c>
      <c r="N166" s="82">
        <f t="shared" si="82"/>
        <v>78208564.602471486</v>
      </c>
      <c r="O166" s="82">
        <f>O164+O152+O135+O127+O120+O112+O105+O92+O87+O69+O61+O34+O25+O15</f>
        <v>174741354.29632667</v>
      </c>
      <c r="P166" s="80"/>
    </row>
    <row r="167" spans="2:16" s="12" customFormat="1" ht="18" x14ac:dyDescent="0.35">
      <c r="B167" s="57" t="s">
        <v>74</v>
      </c>
      <c r="C167" s="83"/>
      <c r="D167" s="83"/>
      <c r="E167" s="83"/>
      <c r="F167" s="84">
        <f t="shared" ref="F167:N167" si="83">F166*0.05</f>
        <v>870351.50907189236</v>
      </c>
      <c r="G167" s="83">
        <f t="shared" si="83"/>
        <v>681818.17125000013</v>
      </c>
      <c r="H167" s="83">
        <f t="shared" si="83"/>
        <v>1179913.1247916666</v>
      </c>
      <c r="I167" s="83">
        <f t="shared" si="83"/>
        <v>1992520.3433942003</v>
      </c>
      <c r="J167" s="84">
        <f t="shared" si="83"/>
        <v>3956287.9756208677</v>
      </c>
      <c r="K167" s="83">
        <f t="shared" si="83"/>
        <v>679583.74500000011</v>
      </c>
      <c r="L167" s="83">
        <f t="shared" si="83"/>
        <v>1178121.3028339744</v>
      </c>
      <c r="M167" s="83">
        <f t="shared" si="83"/>
        <v>1990330.0141971</v>
      </c>
      <c r="N167" s="84">
        <f t="shared" si="83"/>
        <v>3910428.2301235744</v>
      </c>
      <c r="O167" s="84">
        <f>O166*0.05</f>
        <v>8737067.7148163337</v>
      </c>
      <c r="P167" s="80"/>
    </row>
    <row r="168" spans="2:16" s="12" customFormat="1" ht="18" x14ac:dyDescent="0.35">
      <c r="B168" s="57" t="s">
        <v>75</v>
      </c>
      <c r="C168" s="83"/>
      <c r="D168" s="83"/>
      <c r="E168" s="83"/>
      <c r="F168" s="84">
        <f t="shared" ref="F168:N168" si="84">F166*0.08</f>
        <v>1392562.4145150278</v>
      </c>
      <c r="G168" s="83">
        <f t="shared" si="84"/>
        <v>1090909.074</v>
      </c>
      <c r="H168" s="83">
        <f t="shared" si="84"/>
        <v>1887860.9996666664</v>
      </c>
      <c r="I168" s="83">
        <f t="shared" si="84"/>
        <v>3188032.5494307205</v>
      </c>
      <c r="J168" s="84">
        <f t="shared" si="84"/>
        <v>6330060.7609933876</v>
      </c>
      <c r="K168" s="83">
        <f t="shared" si="84"/>
        <v>1087333.9920000001</v>
      </c>
      <c r="L168" s="83">
        <f t="shared" si="84"/>
        <v>1884994.0845343589</v>
      </c>
      <c r="M168" s="83">
        <f t="shared" si="84"/>
        <v>3184528.0227153599</v>
      </c>
      <c r="N168" s="84">
        <f t="shared" si="84"/>
        <v>6256685.1681977194</v>
      </c>
      <c r="O168" s="84">
        <f>O166*0.08</f>
        <v>13979308.343706133</v>
      </c>
      <c r="P168" s="80"/>
    </row>
    <row r="169" spans="2:16" s="12" customFormat="1" ht="18" x14ac:dyDescent="0.35">
      <c r="B169" s="57" t="s">
        <v>76</v>
      </c>
      <c r="C169" s="83"/>
      <c r="D169" s="83"/>
      <c r="E169" s="83"/>
      <c r="F169" s="84">
        <f t="shared" ref="F169:O169" si="85">(F166+F167+F168)*0.01</f>
        <v>196699.4410502477</v>
      </c>
      <c r="G169" s="83">
        <f t="shared" si="85"/>
        <v>154090.90670250004</v>
      </c>
      <c r="H169" s="83">
        <f t="shared" si="85"/>
        <v>266660.3662029166</v>
      </c>
      <c r="I169" s="83">
        <f t="shared" si="85"/>
        <v>450309.59760708921</v>
      </c>
      <c r="J169" s="84">
        <f t="shared" si="85"/>
        <v>894121.08249031601</v>
      </c>
      <c r="K169" s="83">
        <f t="shared" si="85"/>
        <v>153585.92637</v>
      </c>
      <c r="L169" s="83">
        <f t="shared" si="85"/>
        <v>266255.4144404782</v>
      </c>
      <c r="M169" s="83">
        <f t="shared" si="85"/>
        <v>449814.58320854459</v>
      </c>
      <c r="N169" s="84">
        <f t="shared" si="85"/>
        <v>883756.78000792791</v>
      </c>
      <c r="O169" s="84">
        <f t="shared" si="85"/>
        <v>1974577.3035484913</v>
      </c>
      <c r="P169" s="80"/>
    </row>
    <row r="170" spans="2:16" ht="42.6" customHeight="1" x14ac:dyDescent="0.45">
      <c r="B170" s="64" t="s">
        <v>77</v>
      </c>
      <c r="C170" s="77"/>
      <c r="D170" s="77"/>
      <c r="E170" s="77"/>
      <c r="F170" s="65">
        <f>F166+F167+F168+F169</f>
        <v>19866643.546075016</v>
      </c>
      <c r="G170" s="207">
        <f t="shared" ref="G170:K170" si="86">G166+G167+G168+G169</f>
        <v>15563181.576952502</v>
      </c>
      <c r="H170" s="207">
        <f t="shared" si="86"/>
        <v>26932696.986494578</v>
      </c>
      <c r="I170" s="207">
        <f t="shared" si="86"/>
        <v>45481269.358316012</v>
      </c>
      <c r="J170" s="65">
        <f t="shared" si="86"/>
        <v>90306229.331521913</v>
      </c>
      <c r="K170" s="65">
        <f t="shared" si="86"/>
        <v>15512178.563370001</v>
      </c>
      <c r="L170" s="65">
        <f>L166+L167+L168+L169</f>
        <v>26891796.858488299</v>
      </c>
      <c r="M170" s="65">
        <f t="shared" ref="M170" si="87">M166+M167+M168+M169</f>
        <v>45431272.904063001</v>
      </c>
      <c r="N170" s="65">
        <f t="shared" ref="N170" si="88">N166+N167+N168+N169</f>
        <v>89259434.780800715</v>
      </c>
      <c r="O170" s="65">
        <f t="shared" ref="O170" si="89">O166+O167+O168+O169</f>
        <v>199432307.65839761</v>
      </c>
    </row>
    <row r="172" spans="2:16" ht="18" x14ac:dyDescent="0.35">
      <c r="B172" s="75" t="s">
        <v>152</v>
      </c>
      <c r="C172" s="17"/>
      <c r="D172" s="17"/>
      <c r="E172" s="17"/>
      <c r="F172" s="17"/>
      <c r="J172" s="194"/>
      <c r="K172" s="17"/>
      <c r="L172" s="17"/>
      <c r="M172" s="17"/>
      <c r="N172" s="78"/>
      <c r="O172" s="78"/>
      <c r="P172" s="17"/>
    </row>
    <row r="173" spans="2:16" x14ac:dyDescent="0.3">
      <c r="B173"/>
      <c r="C173" s="20"/>
      <c r="D173" s="20"/>
      <c r="E173" s="20"/>
      <c r="F173" s="20"/>
      <c r="G173" s="195"/>
      <c r="H173" s="195"/>
      <c r="I173" s="195"/>
      <c r="J173" s="194"/>
      <c r="K173" s="17"/>
      <c r="L173" s="17"/>
      <c r="M173" s="17"/>
      <c r="N173" s="78"/>
      <c r="O173" s="78"/>
    </row>
    <row r="174" spans="2:16" s="13" customFormat="1" ht="15.6" x14ac:dyDescent="0.3">
      <c r="B174" s="74" t="s">
        <v>160</v>
      </c>
      <c r="C174" s="21"/>
      <c r="D174" s="21"/>
      <c r="E174" s="21"/>
      <c r="F174" s="29"/>
      <c r="G174" s="196"/>
      <c r="H174" s="196"/>
      <c r="I174" s="197"/>
      <c r="J174" s="198"/>
      <c r="N174" s="15"/>
      <c r="O174" s="15"/>
    </row>
    <row r="175" spans="2:16" s="13" customFormat="1" ht="15.6" x14ac:dyDescent="0.3">
      <c r="B175" s="74" t="s">
        <v>153</v>
      </c>
      <c r="C175" s="21"/>
      <c r="D175" s="21"/>
      <c r="E175" s="21"/>
      <c r="F175" s="29"/>
      <c r="G175" s="196"/>
      <c r="H175" s="196"/>
      <c r="I175" s="197"/>
      <c r="J175" s="198"/>
      <c r="N175" s="15"/>
      <c r="O175" s="15"/>
    </row>
    <row r="176" spans="2:16" s="13" customFormat="1" ht="28.65" customHeight="1" x14ac:dyDescent="0.3">
      <c r="B176" s="137" t="s">
        <v>164</v>
      </c>
      <c r="C176" s="137"/>
      <c r="D176" s="137"/>
      <c r="E176" s="137"/>
      <c r="F176" s="137"/>
      <c r="G176" s="137"/>
      <c r="H176" s="137"/>
      <c r="I176" s="137"/>
      <c r="J176" s="137"/>
      <c r="K176" s="137"/>
      <c r="N176" s="15"/>
      <c r="O176" s="85"/>
    </row>
    <row r="177" spans="2:15" s="23" customFormat="1" ht="18.600000000000001" customHeight="1" x14ac:dyDescent="0.3">
      <c r="B177" s="74" t="s">
        <v>154</v>
      </c>
      <c r="C177" s="24"/>
      <c r="D177" s="24"/>
      <c r="E177" s="24"/>
      <c r="F177" s="22"/>
      <c r="G177" s="199"/>
      <c r="H177" s="200"/>
      <c r="I177" s="201"/>
      <c r="J177" s="201"/>
    </row>
    <row r="178" spans="2:15" s="23" customFormat="1" ht="18.600000000000001" customHeight="1" x14ac:dyDescent="0.3">
      <c r="B178" s="76" t="s">
        <v>155</v>
      </c>
      <c r="C178" s="24"/>
      <c r="D178" s="24"/>
      <c r="E178" s="24"/>
      <c r="F178" s="22"/>
      <c r="G178" s="199"/>
      <c r="H178" s="200"/>
      <c r="I178" s="201"/>
      <c r="J178" s="201"/>
      <c r="O178" s="86"/>
    </row>
    <row r="179" spans="2:15" s="26" customFormat="1" x14ac:dyDescent="0.25">
      <c r="B179" s="76" t="s">
        <v>156</v>
      </c>
      <c r="G179" s="202"/>
      <c r="H179" s="202"/>
      <c r="I179" s="203"/>
      <c r="J179" s="203"/>
    </row>
    <row r="180" spans="2:15" s="25" customFormat="1" x14ac:dyDescent="0.25">
      <c r="B180" s="76" t="s">
        <v>157</v>
      </c>
      <c r="C180" s="26"/>
      <c r="D180" s="26"/>
      <c r="E180" s="27"/>
      <c r="G180" s="204"/>
      <c r="H180" s="204"/>
      <c r="I180" s="205"/>
      <c r="J180" s="205"/>
    </row>
    <row r="181" spans="2:15" s="25" customFormat="1" x14ac:dyDescent="0.25">
      <c r="B181" s="76" t="s">
        <v>158</v>
      </c>
      <c r="C181" s="26"/>
      <c r="D181" s="26"/>
      <c r="E181" s="27"/>
      <c r="G181" s="204"/>
      <c r="H181" s="204"/>
      <c r="I181" s="205"/>
      <c r="J181" s="205"/>
    </row>
    <row r="182" spans="2:15" s="25" customFormat="1" ht="17.399999999999999" customHeight="1" x14ac:dyDescent="0.25">
      <c r="B182" s="74" t="s">
        <v>159</v>
      </c>
      <c r="C182" s="26"/>
      <c r="D182" s="26"/>
      <c r="E182" s="27"/>
      <c r="G182" s="204"/>
      <c r="H182" s="204"/>
      <c r="I182" s="205"/>
      <c r="J182" s="205"/>
    </row>
    <row r="183" spans="2:15" x14ac:dyDescent="0.3">
      <c r="G183" s="206"/>
      <c r="H183" s="206"/>
    </row>
    <row r="184" spans="2:15" x14ac:dyDescent="0.3">
      <c r="B184" s="73"/>
      <c r="C184"/>
      <c r="D184"/>
      <c r="E184"/>
      <c r="F184" s="28"/>
      <c r="G184" s="206"/>
      <c r="H184" s="206"/>
    </row>
    <row r="185" spans="2:15" x14ac:dyDescent="0.3">
      <c r="B185"/>
      <c r="C185"/>
      <c r="D185"/>
      <c r="E185"/>
      <c r="F185" s="28"/>
      <c r="G185" s="206"/>
      <c r="H185" s="206"/>
    </row>
  </sheetData>
  <autoFilter ref="B2:O170" xr:uid="{6724E447-57A5-4EA4-83D5-066BA4E71D1E}"/>
  <mergeCells count="41">
    <mergeCell ref="B176:K176"/>
    <mergeCell ref="B4:O4"/>
    <mergeCell ref="B16:O16"/>
    <mergeCell ref="C1:F1"/>
    <mergeCell ref="G1:J1"/>
    <mergeCell ref="K1:N1"/>
    <mergeCell ref="O1:O2"/>
    <mergeCell ref="B3:O3"/>
    <mergeCell ref="B36:O36"/>
    <mergeCell ref="B37:O37"/>
    <mergeCell ref="B62:O62"/>
    <mergeCell ref="B38:O38"/>
    <mergeCell ref="B5:O5"/>
    <mergeCell ref="B13:O13"/>
    <mergeCell ref="B17:O17"/>
    <mergeCell ref="B19:O19"/>
    <mergeCell ref="B95:O95"/>
    <mergeCell ref="B96:O96"/>
    <mergeCell ref="B89:O89"/>
    <mergeCell ref="B7:O7"/>
    <mergeCell ref="B100:O100"/>
    <mergeCell ref="B70:O70"/>
    <mergeCell ref="B71:O71"/>
    <mergeCell ref="B79:O79"/>
    <mergeCell ref="B88:O88"/>
    <mergeCell ref="B94:O94"/>
    <mergeCell ref="B63:O63"/>
    <mergeCell ref="B65:O65"/>
    <mergeCell ref="B26:O26"/>
    <mergeCell ref="B27:O27"/>
    <mergeCell ref="B106:O106"/>
    <mergeCell ref="B107:O107"/>
    <mergeCell ref="B109:O109"/>
    <mergeCell ref="B113:O113"/>
    <mergeCell ref="B114:O114"/>
    <mergeCell ref="B153:O153"/>
    <mergeCell ref="B116:O116"/>
    <mergeCell ref="B122:O122"/>
    <mergeCell ref="B129:O129"/>
    <mergeCell ref="B130:O130"/>
    <mergeCell ref="B136:O136"/>
  </mergeCells>
  <pageMargins left="0.7" right="0.7" top="0.75" bottom="0.75" header="0.3" footer="0.3"/>
  <pageSetup paperSize="9" scale="42" fitToHeight="0" orientation="landscape" r:id="rId1"/>
  <ignoredErrors>
    <ignoredError sqref="D120 H90:M91 H68:N69 I34:K34 H61:M61 H121:M121 H120:I120 K120:M120 H87:I87 K87:M87 H25:M25 M34 N18" formulaRange="1"/>
    <ignoredError sqref="J120" formula="1" formulaRange="1"/>
    <ignoredError sqref="N11"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9" ma:contentTypeDescription="Create a new document." ma:contentTypeScope="" ma:versionID="7756ab31655b06bf8e0fcba8adbbff5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27b71a969902f2a26b14ce6b28c5feb5"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FunctionalArea xmlns="d9cf0e28-81d2-4dc7-8b10-820d80ed680d" xsi:nil="true"/>
    <FileClassificationMode xmlns="d9cf0e28-81d2-4dc7-8b10-820d80ed680d">Public</FileClassificationMode>
    <lcf76f155ced4ddcb4097134ff3c332f xmlns="d9cf0e28-81d2-4dc7-8b10-820d80ed680d">
      <Terms xmlns="http://schemas.microsoft.com/office/infopath/2007/PartnerControls"/>
    </lcf76f155ced4ddcb4097134ff3c332f>
    <TaxCatchAll xmlns="e91d5986-7c29-4ed1-8a54-b8fb378ed474" xsi:nil="true"/>
    <DocCoverageStartDate xmlns="d9cf0e28-81d2-4dc7-8b10-820d80ed680d">2023-05-01T04:00:00+00:00</DocCoverageStartDate>
    <ProjectNumber xmlns="d9cf0e28-81d2-4dc7-8b10-820d80ed680d">01000273</ProjectNumber>
    <FocusArea xmlns="d9cf0e28-81d2-4dc7-8b10-820d80ed680d" xsi:nil="true"/>
    <OperatingUnit xmlns="d9cf0e28-81d2-4dc7-8b10-820d80ed680d">UNDP-ETH</OperatingUnit>
    <DocumentType xmlns="d9cf0e28-81d2-4dc7-8b10-820d80ed680d">Annual/Multi-year Workplan</DocumentType>
    <OutputNumber xmlns="d9cf0e28-81d2-4dc7-8b10-820d80ed680d" xsi:nil="true"/>
    <AuthorName xmlns="d9cf0e28-81d2-4dc7-8b10-820d80ed680d">UNDP</AuthorName>
    <DocumentCategory xmlns="d9cf0e28-81d2-4dc7-8b10-820d80ed680d">Project</DocumentCategory>
    <FileNameDescription xmlns="d9cf0e28-81d2-4dc7-8b10-820d80ed680d">Peace Support facility- UNDP resource framework</FileNameDescription>
    <Language xmlns="d9cf0e28-81d2-4dc7-8b10-820d80ed680d">English</Language>
    <OfficeCountry xmlns="d9cf0e28-81d2-4dc7-8b10-820d80ed680d">B0330 - Ethiopia - Addis Ababa</OfficeCountry>
    <DocumentStatus xmlns="d9cf0e28-81d2-4dc7-8b10-820d80ed680d">Approved</DocumentStatus>
    <DocCoverageEndDate xmlns="d9cf0e28-81d2-4dc7-8b10-820d80ed680d">2025-05-31T04:00:00+00:00</DocCoverageEndDate>
  </documentManagement>
</p:properties>
</file>

<file path=customXml/itemProps1.xml><?xml version="1.0" encoding="utf-8"?>
<ds:datastoreItem xmlns:ds="http://schemas.openxmlformats.org/officeDocument/2006/customXml" ds:itemID="{1BB719DC-DCD5-4213-9F36-053ECCCB58ED}"/>
</file>

<file path=customXml/itemProps2.xml><?xml version="1.0" encoding="utf-8"?>
<ds:datastoreItem xmlns:ds="http://schemas.openxmlformats.org/officeDocument/2006/customXml" ds:itemID="{6F74444C-9884-499D-BB69-B5B20492819D}"/>
</file>

<file path=customXml/itemProps3.xml><?xml version="1.0" encoding="utf-8"?>
<ds:datastoreItem xmlns:ds="http://schemas.openxmlformats.org/officeDocument/2006/customXml" ds:itemID="{B4134CEB-296D-4FAF-808F-2B7E1E0CD39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PS Budget 2023-2025 (2)</vt:lpstr>
      <vt:lpstr>PS Budget 2023-2025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Peace Support facility- UNDP resource framework</dc:title>
  <dc:creator>Nebyu Mehary</dc:creator>
  <cp:lastModifiedBy>Chaltu Yasin Seid</cp:lastModifiedBy>
  <cp:lastPrinted>2023-07-04T13:15:21Z</cp:lastPrinted>
  <dcterms:created xsi:type="dcterms:W3CDTF">2023-06-26T11:25:42Z</dcterms:created>
  <dcterms:modified xsi:type="dcterms:W3CDTF">2024-07-04T07:06:15Z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ies>
</file>